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D50935FC-EC49-462E-A525-E24345E1313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shboard" sheetId="1" r:id="rId1"/>
    <sheet name="Contesto" sheetId="2" r:id="rId2"/>
    <sheet name="Questionario" sheetId="3" r:id="rId3"/>
    <sheet name="DVR_Misure" sheetId="4" r:id="rId4"/>
    <sheet name="ISTAT" sheetId="5" r:id="rId5"/>
    <sheet name="Esito" sheetId="6" r:id="rId6"/>
    <sheet name="Piano_Misure" sheetId="7" r:id="rId7"/>
    <sheet name="Guida" sheetId="8" r:id="rId8"/>
    <sheet name="Tabelle" sheetId="9" r:id="rId9"/>
  </sheets>
  <definedNames>
    <definedName name="_xlnm.Print_Area" localSheetId="1">Contesto!$A$1:$H$18</definedName>
    <definedName name="_xlnm.Print_Area" localSheetId="0">Dashboard!$A$1:$H$20</definedName>
    <definedName name="_xlnm.Print_Area" localSheetId="3">DVR_Misure!$A$1:$I$51</definedName>
    <definedName name="_xlnm.Print_Area" localSheetId="5">Esito!$A$1:$H$16</definedName>
    <definedName name="_xlnm.Print_Area" localSheetId="4">ISTAT!$A$1:$H$38</definedName>
    <definedName name="_xlnm.Print_Area" localSheetId="2">Questionario!$A$1:$I$29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6" l="1"/>
  <c r="G7" i="6"/>
  <c r="F7" i="6"/>
  <c r="E7" i="6"/>
  <c r="D7" i="6"/>
  <c r="C7" i="6"/>
  <c r="B24" i="5"/>
  <c r="B19" i="5"/>
  <c r="B20" i="5" s="1"/>
  <c r="F6" i="6" s="1"/>
  <c r="G5" i="1" s="1"/>
  <c r="B18" i="5"/>
  <c r="B17" i="5"/>
  <c r="C50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6" i="3"/>
  <c r="F16" i="3"/>
  <c r="G15" i="3"/>
  <c r="F15" i="3"/>
  <c r="G14" i="3"/>
  <c r="F14" i="3"/>
  <c r="G13" i="3"/>
  <c r="F13" i="3"/>
  <c r="G12" i="3"/>
  <c r="F12" i="3"/>
  <c r="G11" i="3"/>
  <c r="F11" i="3"/>
  <c r="G10" i="3"/>
  <c r="F10" i="3"/>
  <c r="B13" i="6" s="1"/>
  <c r="G9" i="3"/>
  <c r="F9" i="3"/>
  <c r="G8" i="3"/>
  <c r="F8" i="3"/>
  <c r="G7" i="3"/>
  <c r="F7" i="3"/>
  <c r="G6" i="3"/>
  <c r="F6" i="3"/>
  <c r="B27" i="3"/>
  <c r="F11" i="1"/>
  <c r="B12" i="6" l="1"/>
  <c r="F13" i="1" s="1"/>
  <c r="B25" i="3"/>
  <c r="H6" i="6"/>
  <c r="B28" i="3"/>
  <c r="H11" i="1" l="1"/>
  <c r="H7" i="6"/>
  <c r="D6" i="6"/>
  <c r="F9" i="1" s="1"/>
  <c r="A6" i="6"/>
  <c r="B17" i="4"/>
  <c r="B16" i="4"/>
  <c r="B26" i="3"/>
  <c r="E6" i="6" l="1"/>
  <c r="H9" i="1" s="1"/>
  <c r="B19" i="4"/>
  <c r="B6" i="6"/>
  <c r="E9" i="4"/>
  <c r="A7" i="6"/>
  <c r="A5" i="1"/>
  <c r="A9" i="4"/>
  <c r="B18" i="4"/>
  <c r="B7" i="6" l="1"/>
  <c r="G6" i="6"/>
  <c r="B21" i="5"/>
  <c r="C5" i="1"/>
  <c r="C6" i="6"/>
  <c r="E5" i="1" s="1"/>
  <c r="B16" i="6"/>
  <c r="B15" i="6"/>
</calcChain>
</file>

<file path=xl/sharedStrings.xml><?xml version="1.0" encoding="utf-8"?>
<sst xmlns="http://schemas.openxmlformats.org/spreadsheetml/2006/main" count="517" uniqueCount="426">
  <si>
    <t>RoadRisk Pro — Valutazione del rischio stradale dei lavoratori</t>
  </si>
  <si>
    <t>Workbook premium gratuito: questionario, matrice DVR, misure preventive, correttivo ISTAT manuale, esito operativo e report sintetico.</t>
  </si>
  <si>
    <t>Indice inerente finale</t>
  </si>
  <si>
    <t>Indice residuo finale</t>
  </si>
  <si>
    <t>Esito operativo</t>
  </si>
  <si>
    <t>Coefficiente ISTAT</t>
  </si>
  <si>
    <t>Percorso di utilizzo del foglio</t>
  </si>
  <si>
    <t>1</t>
  </si>
  <si>
    <t>Compilare Contesto</t>
  </si>
  <si>
    <t>Inserire dati azienda, lavoratore/gruppo, scenario e veicolo.</t>
  </si>
  <si>
    <t>Rischio base aziendale</t>
  </si>
  <si>
    <t>Rischio residuo aziendale</t>
  </si>
  <si>
    <t>2</t>
  </si>
  <si>
    <t>Compilare Questionario</t>
  </si>
  <si>
    <t>Selezionare il livello 0–4 per ogni fattore usando le descrizioni contestuali.</t>
  </si>
  <si>
    <t>3</t>
  </si>
  <si>
    <t>Definire DVR e misure</t>
  </si>
  <si>
    <t>Scegliere la gravità potenziale, verificare misure adottate e criticità bloccanti.</t>
  </si>
  <si>
    <t>Gravità DVR</t>
  </si>
  <si>
    <t>Criticità bloccanti</t>
  </si>
  <si>
    <t>4</t>
  </si>
  <si>
    <t>Compilare ISTAT manuale</t>
  </si>
  <si>
    <t>Se si usa il coefficiente, aprire i link ISTAT e copiare mortalità e lesività.</t>
  </si>
  <si>
    <t>5</t>
  </si>
  <si>
    <t>Verificare Esito</t>
  </si>
  <si>
    <t>Leggere indice inerente, residuo, coefficiente, delta e decisione operativa.</t>
  </si>
  <si>
    <t>Fattore principale</t>
  </si>
  <si>
    <t>6</t>
  </si>
  <si>
    <t>Usare Piano_Misure</t>
  </si>
  <si>
    <t>Tradurre le misure in azioni, responsabilità e scadenze.</t>
  </si>
  <si>
    <t>Collegamenti ISTAT per consultazione manuale</t>
  </si>
  <si>
    <t>DataBrowser ISTAT incidenti stradali</t>
  </si>
  <si>
    <t>https://esploradati.istat.it/databrowser/#/it/dw/categories/IT1,Z0810HEA,1.0/HEA_ROAD/DCIS_INDINCIDENT</t>
  </si>
  <si>
    <t>Aprire per selezionare Frequenza Annuale, territorio e anno.</t>
  </si>
  <si>
    <t>Indice di mortalità</t>
  </si>
  <si>
    <t>Indicatore: Morti in incidenti stradali - rispetto al totale degli incidenti (valori per cento).</t>
  </si>
  <si>
    <t>Indice di lesività</t>
  </si>
  <si>
    <t>https://esploradati.istat.it/databrowser/#/it/dw/categories/IT1,Z0810HEA,1.0/HEA_ROAD/DCIS_INDINCIDENT/IT1,41_287_DF_DCIS_INDINCIDENT_2,1.0</t>
  </si>
  <si>
    <t>Indicatore: Feriti in incidenti stradali - rispetto al totale degli incidenti (valori per cento).</t>
  </si>
  <si>
    <t>RoadRisk Pro — Contesto della valutazione</t>
  </si>
  <si>
    <t>Compilare i campi anagrafici e organizzativi. Le informazioni alimentano il report, ma non modificano automaticamente il punteggio salvo le celle collegate agli altri fogli.</t>
  </si>
  <si>
    <t>Campo</t>
  </si>
  <si>
    <t>Valore</t>
  </si>
  <si>
    <t>Guida alla compilazione</t>
  </si>
  <si>
    <t>Azienda</t>
  </si>
  <si>
    <t>Demo S.r.l.</t>
  </si>
  <si>
    <t>Inserire ragione sociale o unità produttiva.</t>
  </si>
  <si>
    <t>Unità operativa / sede</t>
  </si>
  <si>
    <t>Sede centrale</t>
  </si>
  <si>
    <t>Sede o area organizzativa oggetto di valutazione.</t>
  </si>
  <si>
    <t>Data valutazione</t>
  </si>
  <si>
    <t>Data di redazione o aggiornamento.</t>
  </si>
  <si>
    <t>Valutatore</t>
  </si>
  <si>
    <t>RSPP / Datore di lavoro</t>
  </si>
  <si>
    <t>Figura che compila o valida la valutazione.</t>
  </si>
  <si>
    <t>Lavoratore / gruppo omogeneo</t>
  </si>
  <si>
    <t>Tecnici e personale in missione</t>
  </si>
  <si>
    <t>Nominativo o gruppo omogeneo.</t>
  </si>
  <si>
    <t>Mansione</t>
  </si>
  <si>
    <t>Tecnico manutentore itinerante</t>
  </si>
  <si>
    <t>Mansione collegata agli spostamenti.</t>
  </si>
  <si>
    <t>Tipo veicolo prevalente</t>
  </si>
  <si>
    <t>Mezzo proprio autorizzato</t>
  </si>
  <si>
    <t>Selezionare la tipologia più rappresentativa.</t>
  </si>
  <si>
    <t>Scenario valutato</t>
  </si>
  <si>
    <t>Missione giornaliera con percorrenza extraurbana/autostradale</t>
  </si>
  <si>
    <t>Descrivere lo scenario ragionevolmente prevedibile.</t>
  </si>
  <si>
    <t>Frequenza spostamenti</t>
  </si>
  <si>
    <t>Settimanale</t>
  </si>
  <si>
    <t>Esempio: occasionale, settimanale, quotidiana.</t>
  </si>
  <si>
    <t>Distanza media per missione km</t>
  </si>
  <si>
    <t>Stima della percorrenza media.</t>
  </si>
  <si>
    <t>Durata media guida ore</t>
  </si>
  <si>
    <t>Tempo guida stimato, escluse soste prolungate.</t>
  </si>
  <si>
    <t>Uso mezzo proprio autorizzato</t>
  </si>
  <si>
    <t>Sì</t>
  </si>
  <si>
    <t>Se sì, compilare anche le note su assicurazione, manutenzione e autorizzazione.</t>
  </si>
  <si>
    <t>Note generali</t>
  </si>
  <si>
    <t>Valutazione dimostrativa da adattare al contesto aziendale.</t>
  </si>
  <si>
    <t>Annotare ipotesi, esclusioni e criteri adottati.</t>
  </si>
  <si>
    <t>RoadRisk Pro — Questionario fattori di rischio</t>
  </si>
  <si>
    <t>Calcolo questionario</t>
  </si>
  <si>
    <t>Indice aziendale inerente</t>
  </si>
  <si>
    <t>Selezionare per ogni fattore un livello da 0 a 4. Il testo in colonna G contestualizza la scelta rispetto al fattore specifico. Il punteggio inerente aziendale deriva dalla media ponderata dei fattori.</t>
  </si>
  <si>
    <t>Probabilità P indicativa</t>
  </si>
  <si>
    <t>Somma pesi</t>
  </si>
  <si>
    <t>Dominio</t>
  </si>
  <si>
    <t>Fattore di rischio</t>
  </si>
  <si>
    <t>Cosa valutare</t>
  </si>
  <si>
    <t>Livello 0–4</t>
  </si>
  <si>
    <t>Peso</t>
  </si>
  <si>
    <t>Punteggio</t>
  </si>
  <si>
    <t>Interpretazione della selezione</t>
  </si>
  <si>
    <t>Nota operativa</t>
  </si>
  <si>
    <t>Evidenza / note</t>
  </si>
  <si>
    <t>Somma ponderata</t>
  </si>
  <si>
    <t>Esposizione</t>
  </si>
  <si>
    <t>Frequenza e chilometri di guida</t>
  </si>
  <si>
    <t>Quanto spesso e quanto a lungo il lavoratore guida per ragioni di servizio.</t>
  </si>
  <si>
    <t>Considerare km annui, numero missioni e durata media.</t>
  </si>
  <si>
    <t>Durata continuativa della missione</t>
  </si>
  <si>
    <t>Tempo di guida senza recupero e senza pause effettive.</t>
  </si>
  <si>
    <t>La durata incide su affaticamento, attenzione e postura.</t>
  </si>
  <si>
    <t>Tempo</t>
  </si>
  <si>
    <t>Guida in fasce critiche</t>
  </si>
  <si>
    <t>Presenza di guida notturna, serale, prima mattina o dopo turni lunghi.</t>
  </si>
  <si>
    <t>Le fasce critiche aumentano il rischio di sonnolenza ed errore.</t>
  </si>
  <si>
    <t>Organizzazione</t>
  </si>
  <si>
    <t>Pressione temporale e appuntamenti ravvicinati</t>
  </si>
  <si>
    <t>Vincoli di orario, ritardi attesi, margini insufficienti, urgenze.</t>
  </si>
  <si>
    <t>Valutare se l'organizzazione induce velocità, stress o mancata pausa.</t>
  </si>
  <si>
    <t>Pianificazione del percorso</t>
  </si>
  <si>
    <t>Conoscenza percorso, alternative, cantieri, aree di sosta, tempi realistici.</t>
  </si>
  <si>
    <t>La pianificazione riduce improvvisazione e decisioni in guida.</t>
  </si>
  <si>
    <t>Conducente</t>
  </si>
  <si>
    <t>Stanchezza, recupero e prontezza psicofisica</t>
  </si>
  <si>
    <t>Qualità del riposo, ore di lavoro precedenti, capacità di attenzione.</t>
  </si>
  <si>
    <t>Una dichiarata non idoneità alla guida è criticità bloccante.</t>
  </si>
  <si>
    <t>Distrazioni e uso dispositivi</t>
  </si>
  <si>
    <t>Telefonate, messaggistica, navigatore, multitasking e interruzioni.</t>
  </si>
  <si>
    <t>Prevedere regole su smartphone, chiamate e gestione urgenze.</t>
  </si>
  <si>
    <t>Formazione guida sicura e procedure</t>
  </si>
  <si>
    <t>Formazione specifica, informazione, istruzioni, aggiornamenti.</t>
  </si>
  <si>
    <t>La misura è efficace solo se documentata e aggiornata.</t>
  </si>
  <si>
    <t>Esperienza e conoscenza dello scenario</t>
  </si>
  <si>
    <t>Familiarità con veicolo, percorso, area geografica e mansione.</t>
  </si>
  <si>
    <t>Scenario nuovo o complesso aumenta incertezza e carico mentale.</t>
  </si>
  <si>
    <t>Veicolo</t>
  </si>
  <si>
    <t>Manutenzione, revisione e controlli</t>
  </si>
  <si>
    <t>Stato del veicolo, manutenzione programmata, anomalie note.</t>
  </si>
  <si>
    <t>Anomalie rilevanti del veicolo sono criticità bloccanti.</t>
  </si>
  <si>
    <t>Pneumatici, luci e dotazioni di sicurezza</t>
  </si>
  <si>
    <t>Controllo visivo, pressione, battistrada, luci, ADAS, kit emergenza.</t>
  </si>
  <si>
    <t>Controlli pre-partenza devono essere proporzionati allo scenario.</t>
  </si>
  <si>
    <t>Documenti</t>
  </si>
  <si>
    <t>Assicurazione, patente e autorizzazioni</t>
  </si>
  <si>
    <t>Presenza e validità documentale, uso professionale, autorizzazione mezzo proprio.</t>
  </si>
  <si>
    <t>Documenti mancanti o non coerenti impediscono autorizzazione.</t>
  </si>
  <si>
    <t>Carico</t>
  </si>
  <si>
    <t>Carico, attrezzature e passeggeri</t>
  </si>
  <si>
    <t>Stabilità del carico, attrezzature, visibilità, peso, passeggeri.</t>
  </si>
  <si>
    <t>Carico non sicuro può generare rischio per conducente e terzi.</t>
  </si>
  <si>
    <t>Ambiente</t>
  </si>
  <si>
    <t>Meteo, visibilità e condizioni strada</t>
  </si>
  <si>
    <t>Pioggia, neve, caldo, nebbia, fondo stradale, traffico, cantieri.</t>
  </si>
  <si>
    <t>Valutare possibilità di posticipo o trasporto alternativo.</t>
  </si>
  <si>
    <t>Mezzo proprio</t>
  </si>
  <si>
    <t>Uso del mezzo proprio</t>
  </si>
  <si>
    <t>Motivazione, autorizzazione, idoneità veicolo, rimborsi, alternative.</t>
  </si>
  <si>
    <t>L'uso del mezzo proprio richiede autorizzazione chiara e documentata.</t>
  </si>
  <si>
    <t>Benessere</t>
  </si>
  <si>
    <t>Pause, ergonomia e recupero</t>
  </si>
  <si>
    <t>Programmazione soste, postura, vibrazioni, rumore, affaticamento fisico.</t>
  </si>
  <si>
    <t>La guida è anche esposizione a fattori di salute, non solo incidente.</t>
  </si>
  <si>
    <t>Eventi</t>
  </si>
  <si>
    <t>Incidenti, near miss o anomalie pregresse</t>
  </si>
  <si>
    <t>Storico di incidenti, quasi incidenti, multe, anomalie segnalate.</t>
  </si>
  <si>
    <t>Usare i near miss come input per riesame e miglioramento.</t>
  </si>
  <si>
    <t>Stress e reperibilità durante la guida</t>
  </si>
  <si>
    <t>Telefonate di lavoro, urgenze, reperibilità, conflitti di priorità.</t>
  </si>
  <si>
    <t>Separare tempi di guida da richieste operative non compatibili.</t>
  </si>
  <si>
    <t>RoadRisk Pro — DVR, gravità potenziale e misure preventive</t>
  </si>
  <si>
    <t>La gravità potenziale è definita dal valutatore in base allo scenario ragionevolmente prevedibile e alla metodologia aziendale. La probabilità deriva dal questionario. Le misure riducono il rischio residuo solo se adottate, documentate e verificabili.</t>
  </si>
  <si>
    <t>Gravità potenziale dello scenario — scegliere la conseguenza plausibile più severa</t>
  </si>
  <si>
    <t>1=Lieve; 2=Significativa; 3=Seria; 4=Grave; 5=Molto grave/fatale. La gravità rappresenta la severità delle conseguenze, non la probabilità.</t>
  </si>
  <si>
    <t>Indicatore</t>
  </si>
  <si>
    <t>Formula/criterio</t>
  </si>
  <si>
    <t>Media ponderata questionario, scala 0–100.</t>
  </si>
  <si>
    <t>Indice aziendale residuo</t>
  </si>
  <si>
    <t>Rischio inerente meno mitigazione misure, con riduzione massima prudenziale 45%.</t>
  </si>
  <si>
    <t>Matrice DVR inerente</t>
  </si>
  <si>
    <t>P indicativa × G.</t>
  </si>
  <si>
    <t>Matrice DVR residua</t>
  </si>
  <si>
    <t>P residua × G.</t>
  </si>
  <si>
    <t>Area</t>
  </si>
  <si>
    <t>Misura di prevenzione</t>
  </si>
  <si>
    <t>Effetto atteso</t>
  </si>
  <si>
    <t>Stato</t>
  </si>
  <si>
    <t>Riduzione max</t>
  </si>
  <si>
    <t>Azione/Responsabile</t>
  </si>
  <si>
    <t>Scadenza</t>
  </si>
  <si>
    <t>Riduzione applicata</t>
  </si>
  <si>
    <t>Nota</t>
  </si>
  <si>
    <t>Pianificare tempi realistici e margini per imprevisti</t>
  </si>
  <si>
    <t>Riduce pressione temporale, velocità e guida sotto stress.</t>
  </si>
  <si>
    <t>Adottata parzialmente</t>
  </si>
  <si>
    <t>Selezionare solo misure realmente presenti.</t>
  </si>
  <si>
    <t>Definire pause minime e soste programmate</t>
  </si>
  <si>
    <t>Riduce affaticamento e calo attenzione.</t>
  </si>
  <si>
    <t>Pause previste in agenda o procedura.</t>
  </si>
  <si>
    <t>Valutare alternative allo spostamento</t>
  </si>
  <si>
    <t>Videoconferenza, treno, pernottamento o rinvio se rischio alto.</t>
  </si>
  <si>
    <t>Da attuare</t>
  </si>
  <si>
    <t>Da motivare se non praticabile.</t>
  </si>
  <si>
    <t>Manutenzione documentata e scadenziario</t>
  </si>
  <si>
    <t>Revisioni, tagliandi, anomalie e controlli periodici.</t>
  </si>
  <si>
    <t>Adottata e documentata</t>
  </si>
  <si>
    <t>Richiede evidenze verificabili.</t>
  </si>
  <si>
    <t>Check pre-partenza proporzionato</t>
  </si>
  <si>
    <t>Pneumatici, luci, cristalli, dotazioni e carico.</t>
  </si>
  <si>
    <t>Checklist semplice per missioni critiche.</t>
  </si>
  <si>
    <t>Autorizzazione formale uso mezzo proprio</t>
  </si>
  <si>
    <t>Motivazione, condizioni, responsabilità e documenti.</t>
  </si>
  <si>
    <t>Necessaria per missioni con mezzo personale.</t>
  </si>
  <si>
    <t>Verifica assicurazione e idoneità uso professionale</t>
  </si>
  <si>
    <t>Controllo copertura e coerenza con missione.</t>
  </si>
  <si>
    <t>Valutare estensioni assicurative.</t>
  </si>
  <si>
    <t>Formazione/informazione guida sicura</t>
  </si>
  <si>
    <t>Rischi guida, distrazioni, pause, emergenze e procedure.</t>
  </si>
  <si>
    <t>Registrare attestati o presa visione.</t>
  </si>
  <si>
    <t>Regole su smartphone e comunicazioni durante guida</t>
  </si>
  <si>
    <t>Divieti, priorità, gestione chiamate e reperibilità.</t>
  </si>
  <si>
    <t>Definire canali e tempi di risposta.</t>
  </si>
  <si>
    <t>Procedura per meteo/traffico critico</t>
  </si>
  <si>
    <t>Rinvio, percorso alternativo, sosta o trasporto diverso.</t>
  </si>
  <si>
    <t>Collegare a previsioni e alert.</t>
  </si>
  <si>
    <t>Salute</t>
  </si>
  <si>
    <t>Gestione affaticamento e segnalazione non idoneità</t>
  </si>
  <si>
    <t>Possibilità reale di fermarsi o non partire senza penalizzazione.</t>
  </si>
  <si>
    <t>Tutela salute e capacità di attenzione.</t>
  </si>
  <si>
    <t>Gestione</t>
  </si>
  <si>
    <t>Registro incidenti, near miss e anomalie</t>
  </si>
  <si>
    <t>Riesame periodico e azioni correttive.</t>
  </si>
  <si>
    <t>Usare per aggiornare DVR.</t>
  </si>
  <si>
    <t>Controllo</t>
  </si>
  <si>
    <t>Audit periodico documenti e procedure</t>
  </si>
  <si>
    <t>Verifica di attuazione e tracciabilità.</t>
  </si>
  <si>
    <t>Assegnare frequenza e responsabile.</t>
  </si>
  <si>
    <t>DVR</t>
  </si>
  <si>
    <t>Aggiornare DVR e piano di miglioramento</t>
  </si>
  <si>
    <t>Collegare esito a responsabilità, scadenze e follow-up.</t>
  </si>
  <si>
    <t>Documentare criteri e revisioni.</t>
  </si>
  <si>
    <t>Criticità bloccante</t>
  </si>
  <si>
    <t>Presente?</t>
  </si>
  <si>
    <t>Criterio operativo</t>
  </si>
  <si>
    <t>Totale criticità bloccanti</t>
  </si>
  <si>
    <t>Veicolo con criticità non controllata</t>
  </si>
  <si>
    <t>No</t>
  </si>
  <si>
    <t>Anomalie rilevanti, pneumatici/luci non sicuri, revisione non valida.</t>
  </si>
  <si>
    <t>Documentazione essenziale mancante</t>
  </si>
  <si>
    <t>Patente, assicurazione, autorizzazione mezzo proprio o documenti missione.</t>
  </si>
  <si>
    <t>Lavoratore non in condizioni di guidare</t>
  </si>
  <si>
    <t>Stanchezza, malessere, ridotta attenzione dichiarata o rilevata.</t>
  </si>
  <si>
    <t>Tempi incompatibili con pause/recupero</t>
  </si>
  <si>
    <t>Pianificazione che non consente sosta, recupero o guida prudente.</t>
  </si>
  <si>
    <t>Meteo/strada incompatibili con procedura</t>
  </si>
  <si>
    <t>Scenario ambientale che richiede rinvio o alternativa.</t>
  </si>
  <si>
    <t>Carico non sicuro</t>
  </si>
  <si>
    <t>Carico instabile, visibilità compromessa, peso o attrezzature non gestiti.</t>
  </si>
  <si>
    <t>Altra criticità bloccante</t>
  </si>
  <si>
    <t>Condizione specifica da descrivere nelle note.</t>
  </si>
  <si>
    <t>RoadRisk Pro — Passaggio 5: ISTAT OpenData, mortalità e lesività</t>
  </si>
  <si>
    <t>La sezione è manuale: se si applica il correttivo, consultare ISTAT, copiare i valori territoriali e nazionali/reference degli indicatori annuali, poi compilare le celle blu. Il correttivo è un fattore di contesto, non una previsione individuale di incidente.</t>
  </si>
  <si>
    <t>Valore / input</t>
  </si>
  <si>
    <t>Nota d'uso</t>
  </si>
  <si>
    <t>Applicare coefficiente ISTAT?</t>
  </si>
  <si>
    <t>Selezionare Sì solo se i dati sono stati reperiti e copiati correttamente dal DataBrowser ISTAT.</t>
  </si>
  <si>
    <t>Anno valutazione</t>
  </si>
  <si>
    <t>Usare la frequenza Annuale e l'anno coerente con la valutazione. Ultimo anno locale di riferimento integrato: 2024.</t>
  </si>
  <si>
    <t>Territorio valutato</t>
  </si>
  <si>
    <t>Italia</t>
  </si>
  <si>
    <t>Inserire Italia, Regione, Provincia o altro livello disponibile nel DataBrowser.</t>
  </si>
  <si>
    <t>Indice mortalità territorio</t>
  </si>
  <si>
    <t>Morti in incidenti stradali rispetto al totale degli incidenti, valori per cento.</t>
  </si>
  <si>
    <t>Indice mortalità riferimento</t>
  </si>
  <si>
    <t>Usare il valore Italia o un riferimento aziendale dichiarato.</t>
  </si>
  <si>
    <t>Indice lesività territorio</t>
  </si>
  <si>
    <t>Feriti in incidenti stradali rispetto al totale degli incidenti, valori per cento.</t>
  </si>
  <si>
    <t>Indice lesività riferimento</t>
  </si>
  <si>
    <t>Nota fonte / estrazione</t>
  </si>
  <si>
    <t>DataBrowser ISTAT consultato manualmente</t>
  </si>
  <si>
    <t>Indicare data consultazione, territorio, filtri e note.</t>
  </si>
  <si>
    <t>Calcolo coefficiente</t>
  </si>
  <si>
    <t>Formula</t>
  </si>
  <si>
    <t>Mortalità normalizzata</t>
  </si>
  <si>
    <t>territorio / riferimento × 50</t>
  </si>
  <si>
    <t>50 indica valore allineato al riferimento.</t>
  </si>
  <si>
    <t>Lesività normalizzata</t>
  </si>
  <si>
    <t>Valore limitato tra 0 e 100.</t>
  </si>
  <si>
    <t>Indice gravità territoriale</t>
  </si>
  <si>
    <t>65% mortalità + 35% lesività</t>
  </si>
  <si>
    <t>Dà maggiore peso all'esito più grave.</t>
  </si>
  <si>
    <t>1 + ((IGT - 50) / 100), limitato 0,95–1,35</t>
  </si>
  <si>
    <t>Usato su rischio inerente e residuo.</t>
  </si>
  <si>
    <t>Delta residuo ISTAT</t>
  </si>
  <si>
    <t>Rischio residuo corretto - rischio residuo aziendale</t>
  </si>
  <si>
    <t>Mostra l'effetto del correttivo.</t>
  </si>
  <si>
    <t>Messaggio operativo</t>
  </si>
  <si>
    <t>Link DataBrowser generale</t>
  </si>
  <si>
    <t>Aprire in nuova finestra e selezionare i filtri annuali.</t>
  </si>
  <si>
    <t>Link indice di mortalità</t>
  </si>
  <si>
    <t>Frequenza Annuale; Indicatore: Morti in incidenti stradali - rispetto al totale degli incidenti (valori per cento).</t>
  </si>
  <si>
    <t>Link indice di lesività</t>
  </si>
  <si>
    <t>Frequenza Annuale; Indicatore: Feriti in incidenti stradali - rispetto al totale degli incidenti (valori per cento).</t>
  </si>
  <si>
    <t>Come usare i dati ISTAT nel foglio</t>
  </si>
  <si>
    <t>Aprire il link generale o quello specifico dell'indicatore in una nuova finestra.</t>
  </si>
  <si>
    <t>Impostare Frequenza: Annuale e selezionare l'anno della valutazione.</t>
  </si>
  <si>
    <t>Per mortalità scegliere l'indicatore: Morti in incidenti stradali - rispetto al totale degli incidenti (valori per cento).</t>
  </si>
  <si>
    <t>Per lesività scegliere l'indicatore: Feriti in incidenti stradali - rispetto al totale degli incidenti (valori per cento).</t>
  </si>
  <si>
    <t>Selezionare il territorio coerente con lo scenario di guida; copiare il valore nella colonna B.</t>
  </si>
  <si>
    <t>Inserire come riferimento il valore Italia o altro benchmark esplicitamente motivato.</t>
  </si>
  <si>
    <t>7</t>
  </si>
  <si>
    <t>Il coefficiente aumenta o riduce prudentemente il rischio entro i limiti 0,95–1,35; non supera le criticità bloccanti.</t>
  </si>
  <si>
    <t>RoadRisk Pro — Esito finale e riepilogo colorato</t>
  </si>
  <si>
    <t>Il risultato finale combina rischio aziendale, misure preventive e coefficiente ISTAT manuale. Le criticità bloccanti prevalgono sempre sul punteggio numerico.</t>
  </si>
  <si>
    <t>Base aziendale</t>
  </si>
  <si>
    <t>Base residua</t>
  </si>
  <si>
    <t>Delta residuo</t>
  </si>
  <si>
    <t>Fattori principali e lettura del risultato</t>
  </si>
  <si>
    <t>Descrizione / formula</t>
  </si>
  <si>
    <t>Fattore di rischio più alto</t>
  </si>
  <si>
    <t>Secondo fattore più alto</t>
  </si>
  <si>
    <t>Misura preventiva più rilevante non attuata</t>
  </si>
  <si>
    <t>Interpretazione</t>
  </si>
  <si>
    <t>Azioni consigliate</t>
  </si>
  <si>
    <t>RoadRisk Pro — Piano misure di prevenzione e miglioramento</t>
  </si>
  <si>
    <t>Usare questa sezione per trasformare l'esito della valutazione in azioni tracciabili. Le misure devono avere responsabile, scadenza, evidenza e stato di avanzamento.</t>
  </si>
  <si>
    <t>Livello rischio residuo</t>
  </si>
  <si>
    <t>Misure minime consigliate</t>
  </si>
  <si>
    <t>Azione aziendale</t>
  </si>
  <si>
    <t>Responsabile</t>
  </si>
  <si>
    <t>Evidenza</t>
  </si>
  <si>
    <t>Note</t>
  </si>
  <si>
    <t>Basso 0–24</t>
  </si>
  <si>
    <t>Mantenere controlli ordinari e monitoraggio periodico.</t>
  </si>
  <si>
    <t>Archiviare valutazione e riesaminare a scadenza.</t>
  </si>
  <si>
    <t>Da pianificare</t>
  </si>
  <si>
    <t>Moderato 25–49</t>
  </si>
  <si>
    <t>Formalizzare misure ordinarie: pianificazione, pause, controllo documenti.</t>
  </si>
  <si>
    <t>Verificare attuazione e aggiornare procedure.</t>
  </si>
  <si>
    <t>Alto 50–69</t>
  </si>
  <si>
    <t>Misure aggiuntive obbligatorie: tempi, pause, mezzo, formazione, autorizzazione.</t>
  </si>
  <si>
    <t>Approvazione responsabile e follow-up entro termine.</t>
  </si>
  <si>
    <t>Critico 70–100</t>
  </si>
  <si>
    <t>Modificare missione, rinviare, scegliere alternativa o ridurre esposizione.</t>
  </si>
  <si>
    <t>Non autorizzare fino a mitigazione documentata.</t>
  </si>
  <si>
    <t>Risolvere la condizione prima di autorizzare.</t>
  </si>
  <si>
    <t>Chiudere anomalia e rivalutare.</t>
  </si>
  <si>
    <t>ISTAT sopra media</t>
  </si>
  <si>
    <t>Contestualizzare territorio e rafforzare pianificazione e guida difensiva.</t>
  </si>
  <si>
    <t>Documentare fonte ISTAT e misure coerenti.</t>
  </si>
  <si>
    <t>Uso mezzo proprio</t>
  </si>
  <si>
    <t>Autorizzazione, documenti, assicurazione, manutenzione e motivazione.</t>
  </si>
  <si>
    <t>Aggiornare disciplinare e autorizzazione.</t>
  </si>
  <si>
    <t>Affaticamento elevato</t>
  </si>
  <si>
    <t>Pause, orari realistici, pernottamento, alternativa trasporto.</t>
  </si>
  <si>
    <t>Rivedere agenda e tempi missione.</t>
  </si>
  <si>
    <t>Veicolo non pienamente verificato</t>
  </si>
  <si>
    <t>Controlli pre-partenza, manutenzione, dotazioni e scadenze.</t>
  </si>
  <si>
    <t>Bloccare uso fino a verifica se necessario.</t>
  </si>
  <si>
    <t>Formazione carente</t>
  </si>
  <si>
    <t>Informazione e formazione su guida sicura e procedure aziendali.</t>
  </si>
  <si>
    <t>Programmare corso e registrare evidenza.</t>
  </si>
  <si>
    <t>RoadRisk Pro — Guida, metodologia, limiti e riferimenti</t>
  </si>
  <si>
    <t>Sezione</t>
  </si>
  <si>
    <t>Testo</t>
  </si>
  <si>
    <t>Prefazione</t>
  </si>
  <si>
    <t>Il rischio stradale lavorativo non riguarda solo l'incidente: include affaticamento, stress, posture prolungate, vibrazioni, pressione organizzativa, stato del veicolo, pianificazione e cultura preventiva. Il foglio supporta una valutazione semiquantitativa documentata, da validare nel contesto aziendale.</t>
  </si>
  <si>
    <t>Cosa calcola</t>
  </si>
  <si>
    <t>Il workbook calcola indice aziendale inerente, indice aziendale residuo dopo misure, matrice DVR indicativa P×G, coefficiente ISTAT manuale, indice inerente finale, indice residuo finale ed esito operativo.</t>
  </si>
  <si>
    <t>Metodologia questionario</t>
  </si>
  <si>
    <t>I fattori sono valutati su scala 0–4 e ponderati. Il punteggio ponderato è diviso per il massimo teorico e trasformato in scala 0–100. Le descrizioni in riga aiutano a scegliere il livello coerente con lo scenario.</t>
  </si>
  <si>
    <t>La gravità potenziale 1–5 è scelta dal valutatore in funzione della conseguenza plausibile più severa. La probabilità indicativa deriva dal questionario. La matrice DVR indicativa è P×G e deve essere coerente con la metodologia aziendale.</t>
  </si>
  <si>
    <t>Misure preventive</t>
  </si>
  <si>
    <t>Le misure riducono il rischio residuo solo se adottate, documentate e verificabili. Le misure parziali applicano una riduzione parziale. Le misure da attuare non riducono il rischio e devono confluire nel piano di miglioramento.</t>
  </si>
  <si>
    <t>ISTAT OpenData</t>
  </si>
  <si>
    <t>Il coefficiente ISTAT è opzionale e manuale. Se attivato, l'utente consulta il DataBrowser ISTAT, seleziona Frequenza Annuale, anno e territorio, copia indice di mortalità e indice di lesività per territorio e riferimento, poi compila la sezione ISTAT.</t>
  </si>
  <si>
    <t>Uso dei link ISTAT</t>
  </si>
  <si>
    <t>Indice di mortalità: Morti in incidenti stradali - rispetto al totale degli incidenti (valori per cento). Indice di lesività: Feriti in incidenti stradali - rispetto al totale degli incidenti (valori per cento).</t>
  </si>
  <si>
    <t>Interpretazione coefficiente</t>
  </si>
  <si>
    <t>Il coefficiente è calcolato dall'indice di gravità territoriale: 65% mortalità normalizzata e 35% lesività normalizzata. È limitato tra 0,95 e 1,35 e non elimina criticità bloccanti.</t>
  </si>
  <si>
    <t>Le soglie 0–24, 25–49, 50–69, 70–100 orientano la decisione. In presenza di criticità bloccanti l'esito diventa non autorizzabile finché la criticità non viene risolta e rivalutata.</t>
  </si>
  <si>
    <t>Limiti</t>
  </si>
  <si>
    <t>Il foglio è uno strumento di supporto. Non sostituisce DVR, giudizio professionale, procedure aziendali, formazione, manutenzione, sorveglianza sanitaria o decisioni del datore di lavoro e delle figure competenti.</t>
  </si>
  <si>
    <t>Privacy</t>
  </si>
  <si>
    <t>Evitare l'inserimento di dati sanitari non necessari. Eventuali condizioni psicofisiche vanno gestite con riservatezza e ruoli corretti. Il foglio non richiede geolocalizzazione o monitoraggio continuo.</t>
  </si>
  <si>
    <t>Riferimento normativo</t>
  </si>
  <si>
    <t>D.Lgs. 81/2008: valutazione di tutti i rischi e misure di prevenzione. Codice della Strada: obblighi generali di comportamento e sicurezza. Utilizzare il foglio come supporto documentale, non come certificazione automatica.</t>
  </si>
  <si>
    <t>Fonti ISTAT</t>
  </si>
  <si>
    <t>DataBrowser ISTAT incidenti stradali: https://esploradati.istat.it/databrowser/#/it/dw/categories/IT1,Z0810HEA,1.0/HEA_ROAD/DCIS_INDINCIDENT</t>
  </si>
  <si>
    <t>Report ISTAT 2024</t>
  </si>
  <si>
    <t>Comunicato ISTAT incidenti stradali in Italia 2024: https://www.istat.it/comunicato-stampa/incidenti-stradali-in-italia-2024/</t>
  </si>
  <si>
    <t>Fonte normativa</t>
  </si>
  <si>
    <t>D.Lgs. 81/2008 su Gazzetta Ufficiale: https://www.gazzettaufficiale.it/eli/id/2008/04/30/008G0104/s</t>
  </si>
  <si>
    <t>Liste</t>
  </si>
  <si>
    <t>Valore 1</t>
  </si>
  <si>
    <t>Valore 2</t>
  </si>
  <si>
    <t>Valore 3</t>
  </si>
  <si>
    <t>Valore 4</t>
  </si>
  <si>
    <t>Valore 5</t>
  </si>
  <si>
    <t>Sì/No</t>
  </si>
  <si>
    <t>Livelli rischio</t>
  </si>
  <si>
    <t>0 - Assente/controllato</t>
  </si>
  <si>
    <t>1 - Basso</t>
  </si>
  <si>
    <t>2 - Medio</t>
  </si>
  <si>
    <t>3 - Alto</t>
  </si>
  <si>
    <t>4 - Critico</t>
  </si>
  <si>
    <t>1 - Lieve</t>
  </si>
  <si>
    <t>2 - Significativa</t>
  </si>
  <si>
    <t>3 - Seria</t>
  </si>
  <si>
    <t>4 - Grave</t>
  </si>
  <si>
    <t>5 - Molto grave/fatale</t>
  </si>
  <si>
    <t>Stato misura</t>
  </si>
  <si>
    <t>Non applicabile</t>
  </si>
  <si>
    <t>Non adottata</t>
  </si>
  <si>
    <t>Tipo veicolo</t>
  </si>
  <si>
    <t>Aziendale</t>
  </si>
  <si>
    <t>Noleggio/leasing</t>
  </si>
  <si>
    <t>Veicolo condiviso</t>
  </si>
  <si>
    <t>Altro</t>
  </si>
  <si>
    <t>Esito</t>
  </si>
  <si>
    <t>Autorizzabile</t>
  </si>
  <si>
    <t>Autorizzabile con misure</t>
  </si>
  <si>
    <t>Autorizzabile con misure aggiuntive</t>
  </si>
  <si>
    <t>Da modificare/sospendere</t>
  </si>
  <si>
    <t>Non autorizzabile</t>
  </si>
  <si>
    <t>Fascia oraria</t>
  </si>
  <si>
    <t>Diurna</t>
  </si>
  <si>
    <t>Notturna</t>
  </si>
  <si>
    <t>Prima mattina</t>
  </si>
  <si>
    <t>Serale</t>
  </si>
  <si>
    <t>Mista</t>
  </si>
  <si>
    <t>BENNI</t>
  </si>
  <si>
    <t>Copyright</t>
  </si>
  <si>
    <t xml:space="preserve">Foglio excel gratuito riservato iscritti newsletter professional di testo-unico-sicurezza.com. Non cedere a qualunque titolo o pubblicare </t>
  </si>
  <si>
    <t>ATTENZIONE FOGLIO NON PROTETTO DA CANCELLAZIONI INVOLONTARIE DI FORMULE O FUNZIONI.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</si>
</sst>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>
    <font>
      <sz val="11"/>
      <name val="Carlito"/>
    </font>
    <font>
      <b/>
      <sz val="10"/>
      <color rgb="FFFFFFFF"/>
      <name val="Carlito"/>
    </font>
    <font>
      <sz val="9"/>
      <color rgb="FF475569"/>
      <name val="Carlito"/>
    </font>
    <font>
      <b/>
      <sz val="11"/>
      <color rgb="FF0B1F3A"/>
      <name val="Carlito"/>
    </font>
    <font>
      <b/>
      <sz val="12"/>
      <color rgb="FF0B1F3A"/>
      <name val="Carlito"/>
    </font>
    <font>
      <b/>
      <sz val="14"/>
      <color rgb="FF0B1F3A"/>
      <name val="Carlito"/>
    </font>
    <font>
      <b/>
      <sz val="13"/>
      <color rgb="FF9A3412"/>
      <name val="Carlito"/>
    </font>
    <font>
      <b/>
      <sz val="13"/>
      <color rgb="FF166534"/>
      <name val="Carlito"/>
    </font>
    <font>
      <b/>
      <sz val="11"/>
      <color rgb="FF991B1B"/>
      <name val="Carlito"/>
    </font>
    <font>
      <sz val="11"/>
      <color rgb="FF2563EB"/>
      <name val="Carlito"/>
    </font>
    <font>
      <b/>
      <sz val="14"/>
      <color rgb="FF0F172A"/>
      <name val="Carlito"/>
    </font>
    <font>
      <b/>
      <sz val="11"/>
      <color rgb="FF475569"/>
      <name val="Carlito"/>
    </font>
    <font>
      <b/>
      <sz val="16"/>
      <color rgb="FF0F172A"/>
      <name val="Carlito"/>
    </font>
    <font>
      <b/>
      <sz val="11"/>
      <color rgb="FFFFFFFF"/>
      <name val="Carlito"/>
    </font>
    <font>
      <b/>
      <sz val="10"/>
      <color rgb="FF0F172A"/>
      <name val="Aptos"/>
      <family val="2"/>
    </font>
    <font>
      <sz val="10"/>
      <color rgb="FF0F172A"/>
      <name val="Aptos"/>
      <family val="2"/>
    </font>
    <font>
      <b/>
      <sz val="16"/>
      <color rgb="FFFFFFFF"/>
      <name val="Aptos"/>
      <family val="2"/>
    </font>
    <font>
      <sz val="11"/>
      <name val="Carlito"/>
    </font>
  </fonts>
  <fills count="13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EFF6FF"/>
      </patternFill>
    </fill>
    <fill>
      <patternFill patternType="solid">
        <fgColor rgb="FF1D4ED8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FFF7ED"/>
      </patternFill>
    </fill>
    <fill>
      <patternFill patternType="solid">
        <fgColor rgb="FFF0FDF4"/>
      </patternFill>
    </fill>
    <fill>
      <patternFill patternType="solid">
        <fgColor rgb="FFB91C1C"/>
      </patternFill>
    </fill>
    <fill>
      <patternFill patternType="solid">
        <fgColor rgb="FFFEE2E2"/>
      </patternFill>
    </fill>
    <fill>
      <patternFill patternType="solid">
        <fgColor rgb="FFDBEAFE"/>
      </patternFill>
    </fill>
    <fill>
      <patternFill patternType="solid">
        <fgColor rgb="FF33415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/>
  </cellStyleXfs>
  <cellXfs count="73">
    <xf numFmtId="0" fontId="0" fillId="0" borderId="0" xfId="0"/>
    <xf numFmtId="0" fontId="1" fillId="4" borderId="0" xfId="1" applyFont="1" applyFill="1" applyAlignment="1">
      <alignment horizontal="center" vertical="center" wrapText="1"/>
    </xf>
    <xf numFmtId="0" fontId="15" fillId="0" borderId="0" xfId="1" applyFont="1"/>
    <xf numFmtId="0" fontId="14" fillId="2" borderId="0" xfId="1" applyFont="1" applyFill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13" fillId="2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wrapText="1"/>
    </xf>
    <xf numFmtId="0" fontId="3" fillId="5" borderId="1" xfId="1" applyFont="1" applyFill="1" applyBorder="1" applyAlignment="1">
      <alignment wrapText="1"/>
    </xf>
    <xf numFmtId="0" fontId="0" fillId="5" borderId="1" xfId="1" applyFont="1" applyFill="1" applyBorder="1" applyAlignment="1">
      <alignment wrapText="1"/>
    </xf>
    <xf numFmtId="0" fontId="3" fillId="0" borderId="1" xfId="1" applyFont="1" applyBorder="1" applyAlignment="1">
      <alignment wrapText="1"/>
    </xf>
    <xf numFmtId="0" fontId="9" fillId="0" borderId="1" xfId="1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5" borderId="1" xfId="1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1" fillId="4" borderId="1" xfId="1" applyFont="1" applyFill="1" applyBorder="1" applyAlignment="1">
      <alignment horizontal="left" vertical="center" wrapText="1"/>
    </xf>
    <xf numFmtId="0" fontId="3" fillId="5" borderId="1" xfId="1" applyFont="1" applyFill="1" applyBorder="1" applyAlignment="1">
      <alignment horizontal="left" wrapText="1"/>
    </xf>
    <xf numFmtId="0" fontId="0" fillId="0" borderId="1" xfId="1" applyFont="1" applyBorder="1" applyAlignment="1">
      <alignment horizontal="left" wrapText="1"/>
    </xf>
    <xf numFmtId="14" fontId="0" fillId="0" borderId="1" xfId="1" applyNumberFormat="1" applyFont="1" applyBorder="1" applyAlignment="1">
      <alignment horizontal="left" wrapText="1"/>
    </xf>
    <xf numFmtId="0" fontId="0" fillId="0" borderId="1" xfId="0" applyBorder="1"/>
    <xf numFmtId="0" fontId="1" fillId="4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justify"/>
    </xf>
    <xf numFmtId="0" fontId="2" fillId="3" borderId="1" xfId="1" applyFont="1" applyFill="1" applyBorder="1" applyAlignment="1">
      <alignment vertical="top" wrapText="1"/>
    </xf>
    <xf numFmtId="0" fontId="1" fillId="4" borderId="4" xfId="1" applyFont="1" applyFill="1" applyBorder="1" applyAlignment="1">
      <alignment horizontal="center" vertical="center" wrapText="1"/>
    </xf>
    <xf numFmtId="0" fontId="1" fillId="4" borderId="5" xfId="1" applyFont="1" applyFill="1" applyBorder="1" applyAlignment="1">
      <alignment horizontal="center" vertical="center" wrapText="1"/>
    </xf>
    <xf numFmtId="0" fontId="1" fillId="4" borderId="6" xfId="1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3" xfId="0" applyBorder="1" applyAlignment="1">
      <alignment vertical="justify"/>
    </xf>
    <xf numFmtId="0" fontId="0" fillId="0" borderId="7" xfId="0" applyBorder="1" applyAlignment="1">
      <alignment vertical="justify"/>
    </xf>
    <xf numFmtId="0" fontId="0" fillId="0" borderId="8" xfId="0" applyBorder="1" applyAlignment="1">
      <alignment vertical="justify"/>
    </xf>
    <xf numFmtId="0" fontId="0" fillId="0" borderId="2" xfId="0" applyBorder="1" applyAlignment="1">
      <alignment vertical="justify"/>
    </xf>
    <xf numFmtId="0" fontId="0" fillId="0" borderId="9" xfId="0" applyBorder="1" applyAlignment="1">
      <alignment vertical="justify"/>
    </xf>
    <xf numFmtId="0" fontId="1" fillId="9" borderId="1" xfId="1" applyFont="1" applyFill="1" applyBorder="1" applyAlignment="1">
      <alignment horizontal="center" vertical="center" wrapText="1"/>
    </xf>
    <xf numFmtId="0" fontId="8" fillId="10" borderId="1" xfId="1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3" fillId="11" borderId="1" xfId="1" applyFont="1" applyFill="1" applyBorder="1" applyAlignment="1">
      <alignment horizontal="center" wrapText="1"/>
    </xf>
    <xf numFmtId="1" fontId="3" fillId="11" borderId="1" xfId="1" applyNumberFormat="1" applyFont="1" applyFill="1" applyBorder="1" applyAlignment="1">
      <alignment horizontal="center" wrapText="1"/>
    </xf>
    <xf numFmtId="2" fontId="3" fillId="11" borderId="1" xfId="1" applyNumberFormat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0" fontId="1" fillId="12" borderId="1" xfId="1" applyFont="1" applyFill="1" applyBorder="1" applyAlignment="1">
      <alignment horizontal="center" vertical="center" wrapText="1"/>
    </xf>
    <xf numFmtId="0" fontId="3" fillId="5" borderId="1" xfId="1" applyFont="1" applyFill="1" applyBorder="1"/>
    <xf numFmtId="0" fontId="10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wrapText="1"/>
    </xf>
    <xf numFmtId="0" fontId="0" fillId="0" borderId="1" xfId="1" applyFont="1" applyBorder="1" applyAlignment="1">
      <alignment wrapText="1"/>
    </xf>
    <xf numFmtId="0" fontId="3" fillId="5" borderId="12" xfId="1" applyFont="1" applyFill="1" applyBorder="1" applyAlignment="1">
      <alignment wrapText="1"/>
    </xf>
    <xf numFmtId="0" fontId="0" fillId="0" borderId="12" xfId="1" applyFont="1" applyBorder="1" applyAlignment="1">
      <alignment wrapText="1"/>
    </xf>
    <xf numFmtId="0" fontId="14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16" fillId="2" borderId="0" xfId="1" applyFont="1" applyFill="1" applyAlignment="1">
      <alignment horizontal="left" vertical="center" wrapText="1"/>
    </xf>
    <xf numFmtId="0" fontId="2" fillId="3" borderId="0" xfId="1" applyFont="1" applyFill="1" applyAlignment="1">
      <alignment vertical="top" wrapText="1"/>
    </xf>
    <xf numFmtId="0" fontId="3" fillId="5" borderId="1" xfId="1" applyFont="1" applyFill="1" applyBorder="1" applyAlignment="1">
      <alignment horizontal="center" wrapText="1"/>
    </xf>
    <xf numFmtId="0" fontId="12" fillId="6" borderId="1" xfId="1" applyFont="1" applyFill="1" applyBorder="1" applyAlignment="1">
      <alignment horizontal="center" vertical="center" wrapText="1"/>
    </xf>
    <xf numFmtId="0" fontId="0" fillId="5" borderId="1" xfId="1" applyFont="1" applyFill="1" applyBorder="1" applyAlignment="1">
      <alignment wrapText="1"/>
    </xf>
    <xf numFmtId="0" fontId="3" fillId="5" borderId="1" xfId="1" applyFont="1" applyFill="1" applyBorder="1" applyAlignment="1">
      <alignment wrapText="1"/>
    </xf>
    <xf numFmtId="0" fontId="4" fillId="5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6" fillId="2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top" wrapText="1"/>
    </xf>
    <xf numFmtId="0" fontId="8" fillId="10" borderId="3" xfId="1" applyFont="1" applyFill="1" applyBorder="1" applyAlignment="1">
      <alignment horizontal="center" wrapText="1"/>
    </xf>
    <xf numFmtId="0" fontId="8" fillId="10" borderId="1" xfId="1" applyFont="1" applyFill="1" applyBorder="1" applyAlignment="1">
      <alignment horizontal="center" wrapText="1"/>
    </xf>
    <xf numFmtId="0" fontId="15" fillId="0" borderId="0" xfId="1" applyFont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4" fillId="5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vertical="top" wrapText="1"/>
    </xf>
  </cellXfs>
  <cellStyles count="2">
    <cellStyle name="Normal" xfId="1" xr:uid="{00000000-0005-0000-0000-000000000000}"/>
    <cellStyle name="Normale" xfId="0" builtinId="0"/>
  </cellStyles>
  <dxfs count="47"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A3412"/>
      </font>
      <fill>
        <patternFill patternType="solid">
          <bgColor rgb="FFFFEDD5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A3412"/>
      </font>
      <fill>
        <patternFill patternType="solid">
          <bgColor rgb="FFFFEDD5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A3412"/>
      </font>
      <fill>
        <patternFill patternType="solid">
          <bgColor rgb="FFFFEDD5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9A3412"/>
      </font>
      <fill>
        <patternFill patternType="solid">
          <bgColor rgb="FFFFEDD5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justify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justify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justify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QuestionarioTable" displayName="QuestionarioTable" ref="A5:I23">
  <tableColumns count="9">
    <tableColumn id="1" xr3:uid="{00000000-0010-0000-0000-000001000000}" name="Dominio" dataDxfId="46"/>
    <tableColumn id="2" xr3:uid="{00000000-0010-0000-0000-000002000000}" name="Fattore di rischio" dataDxfId="45"/>
    <tableColumn id="3" xr3:uid="{00000000-0010-0000-0000-000003000000}" name="Cosa valutare" dataDxfId="44"/>
    <tableColumn id="4" xr3:uid="{00000000-0010-0000-0000-000004000000}" name="Livello 0–4" dataDxfId="43"/>
    <tableColumn id="5" xr3:uid="{00000000-0010-0000-0000-000005000000}" name="Peso" dataDxfId="42"/>
    <tableColumn id="6" xr3:uid="{00000000-0010-0000-0000-000006000000}" name="Punteggio" dataDxfId="41"/>
    <tableColumn id="7" xr3:uid="{00000000-0010-0000-0000-000007000000}" name="Interpretazione della selezione" dataDxfId="40"/>
    <tableColumn id="8" xr3:uid="{00000000-0010-0000-0000-000008000000}" name="Nota operativa" dataDxfId="39"/>
    <tableColumn id="9" xr3:uid="{00000000-0010-0000-0000-000009000000}" name="Evidenza / no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isureTable" displayName="MisureTable" ref="A23:I37" headerRowDxfId="38" totalsRowDxfId="35" headerRowBorderDxfId="37" tableBorderDxfId="36">
  <tableColumns count="9">
    <tableColumn id="1" xr3:uid="{00000000-0010-0000-0100-000001000000}" name="Area" dataDxfId="34"/>
    <tableColumn id="2" xr3:uid="{00000000-0010-0000-0100-000002000000}" name="Misura di prevenzione" dataDxfId="33"/>
    <tableColumn id="3" xr3:uid="{00000000-0010-0000-0100-000003000000}" name="Effetto atteso" dataDxfId="32"/>
    <tableColumn id="4" xr3:uid="{00000000-0010-0000-0100-000004000000}" name="Stato" dataDxfId="31"/>
    <tableColumn id="5" xr3:uid="{00000000-0010-0000-0100-000005000000}" name="Riduzione max" dataDxfId="30"/>
    <tableColumn id="6" xr3:uid="{00000000-0010-0000-0100-000006000000}" name="Azione/Responsabile" dataDxfId="29"/>
    <tableColumn id="7" xr3:uid="{00000000-0010-0000-0100-000007000000}" name="Scadenza" dataDxfId="28"/>
    <tableColumn id="8" xr3:uid="{00000000-0010-0000-0100-000008000000}" name="Riduzione applicata" dataDxfId="27"/>
    <tableColumn id="9" xr3:uid="{00000000-0010-0000-0100-000009000000}" name="Nota" dataDxfId="2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ianoMisureTable" displayName="PianoMisureTable" ref="A5:H15" headerRowDxfId="25" totalsRowDxfId="24">
  <tableColumns count="8">
    <tableColumn id="1" xr3:uid="{00000000-0010-0000-0200-000001000000}" name="Livello rischio residuo" dataDxfId="23"/>
    <tableColumn id="2" xr3:uid="{00000000-0010-0000-0200-000002000000}" name="Misure minime consigliate" dataDxfId="22"/>
    <tableColumn id="3" xr3:uid="{00000000-0010-0000-0200-000003000000}" name="Azione aziendale" dataDxfId="21"/>
    <tableColumn id="4" xr3:uid="{00000000-0010-0000-0200-000004000000}" name="Responsabile" dataDxfId="20"/>
    <tableColumn id="5" xr3:uid="{00000000-0010-0000-0200-000005000000}" name="Scadenza" dataDxfId="19"/>
    <tableColumn id="6" xr3:uid="{00000000-0010-0000-0200-000006000000}" name="Stato" dataDxfId="18"/>
    <tableColumn id="7" xr3:uid="{00000000-0010-0000-0200-000007000000}" name="Evidenza" dataDxfId="17"/>
    <tableColumn id="8" xr3:uid="{00000000-0010-0000-0200-000008000000}" name="Note" dataDxf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showGridLines="0" tabSelected="1" workbookViewId="0">
      <selection activeCell="A23" sqref="A23:H23"/>
    </sheetView>
  </sheetViews>
  <sheetFormatPr defaultColWidth="0" defaultRowHeight="13.8" zeroHeight="1"/>
  <cols>
    <col min="1" max="1" width="21.3984375" customWidth="1"/>
    <col min="2" max="2" width="70" customWidth="1"/>
    <col min="3" max="3" width="63.796875" customWidth="1"/>
    <col min="4" max="4" width="4" customWidth="1"/>
    <col min="5" max="5" width="24" customWidth="1"/>
    <col min="6" max="6" width="20" customWidth="1"/>
    <col min="7" max="7" width="24" customWidth="1"/>
    <col min="8" max="8" width="20" customWidth="1"/>
    <col min="9" max="9" width="1.8984375" hidden="1" customWidth="1"/>
    <col min="10" max="11" width="0" hidden="1" customWidth="1"/>
    <col min="12" max="16384" width="8.796875" hidden="1"/>
  </cols>
  <sheetData>
    <row r="1" spans="1:11" ht="27.15" customHeight="1">
      <c r="A1" s="48" t="s">
        <v>0</v>
      </c>
      <c r="B1" s="48"/>
      <c r="C1" s="48"/>
      <c r="D1" s="48"/>
      <c r="E1" s="48"/>
      <c r="F1" s="48"/>
      <c r="G1" s="48"/>
      <c r="H1" s="48"/>
      <c r="I1" s="2"/>
      <c r="J1" s="2" t="s">
        <v>422</v>
      </c>
      <c r="K1" s="2"/>
    </row>
    <row r="2" spans="1:11">
      <c r="A2" s="49" t="s">
        <v>1</v>
      </c>
      <c r="B2" s="49"/>
      <c r="C2" s="49"/>
      <c r="D2" s="49"/>
      <c r="E2" s="49"/>
      <c r="F2" s="49"/>
      <c r="G2" s="49"/>
      <c r="H2" s="49"/>
    </row>
    <row r="3" spans="1:11"/>
    <row r="4" spans="1:11">
      <c r="A4" s="50" t="s">
        <v>2</v>
      </c>
      <c r="B4" s="50"/>
      <c r="C4" s="50" t="s">
        <v>3</v>
      </c>
      <c r="D4" s="50"/>
      <c r="E4" s="50" t="s">
        <v>4</v>
      </c>
      <c r="F4" s="50"/>
      <c r="G4" s="50" t="s">
        <v>5</v>
      </c>
      <c r="H4" s="50"/>
    </row>
    <row r="5" spans="1:11" ht="22.35" customHeight="1">
      <c r="A5" s="51">
        <f>Esito!A6</f>
        <v>55</v>
      </c>
      <c r="B5" s="51"/>
      <c r="C5" s="51">
        <f>Esito!B6</f>
        <v>30</v>
      </c>
      <c r="D5" s="51"/>
      <c r="E5" s="51" t="str">
        <f>Esito!C6</f>
        <v>Autorizzabile con misure</v>
      </c>
      <c r="F5" s="51"/>
      <c r="G5" s="51">
        <f>Esito!F6</f>
        <v>1</v>
      </c>
      <c r="H5" s="51"/>
    </row>
    <row r="6" spans="1:11" ht="22.35" customHeight="1">
      <c r="A6" s="51"/>
      <c r="B6" s="51"/>
      <c r="C6" s="51"/>
      <c r="D6" s="51"/>
      <c r="E6" s="51"/>
      <c r="F6" s="51"/>
      <c r="G6" s="51"/>
      <c r="H6" s="51"/>
    </row>
    <row r="7" spans="1:11"/>
    <row r="8" spans="1:11" ht="19.2" customHeight="1">
      <c r="A8" s="54" t="s">
        <v>6</v>
      </c>
      <c r="B8" s="54"/>
      <c r="C8" s="54"/>
      <c r="D8" s="54"/>
      <c r="E8" s="54"/>
      <c r="F8" s="54"/>
      <c r="G8" s="54"/>
      <c r="H8" s="54"/>
    </row>
    <row r="9" spans="1:11">
      <c r="A9" s="5" t="s">
        <v>7</v>
      </c>
      <c r="B9" s="6" t="s">
        <v>8</v>
      </c>
      <c r="C9" s="57" t="s">
        <v>9</v>
      </c>
      <c r="D9" s="58"/>
      <c r="E9" s="7" t="s">
        <v>10</v>
      </c>
      <c r="F9" s="12">
        <f>Esito!D6</f>
        <v>55</v>
      </c>
      <c r="G9" s="7" t="s">
        <v>11</v>
      </c>
      <c r="H9" s="12">
        <f>Esito!E6</f>
        <v>30</v>
      </c>
    </row>
    <row r="10" spans="1:11">
      <c r="A10" s="5" t="s">
        <v>12</v>
      </c>
      <c r="B10" s="6" t="s">
        <v>13</v>
      </c>
      <c r="C10" s="57" t="s">
        <v>14</v>
      </c>
      <c r="D10" s="58"/>
      <c r="E10" s="7"/>
      <c r="F10" s="12"/>
      <c r="G10" s="7"/>
      <c r="H10" s="12"/>
    </row>
    <row r="11" spans="1:11">
      <c r="A11" s="5" t="s">
        <v>15</v>
      </c>
      <c r="B11" s="6" t="s">
        <v>16</v>
      </c>
      <c r="C11" s="57" t="s">
        <v>17</v>
      </c>
      <c r="D11" s="58"/>
      <c r="E11" s="7" t="s">
        <v>18</v>
      </c>
      <c r="F11" s="12">
        <f>DVR_Misure!A6</f>
        <v>5</v>
      </c>
      <c r="G11" s="7" t="s">
        <v>19</v>
      </c>
      <c r="H11" s="12">
        <f>Esito!H6</f>
        <v>0</v>
      </c>
    </row>
    <row r="12" spans="1:11">
      <c r="A12" s="5" t="s">
        <v>20</v>
      </c>
      <c r="B12" s="6" t="s">
        <v>21</v>
      </c>
      <c r="C12" s="57" t="s">
        <v>22</v>
      </c>
      <c r="D12" s="58"/>
      <c r="E12" s="7"/>
      <c r="F12" s="12"/>
      <c r="G12" s="7"/>
      <c r="H12" s="12"/>
    </row>
    <row r="13" spans="1:11">
      <c r="A13" s="5" t="s">
        <v>23</v>
      </c>
      <c r="B13" s="6" t="s">
        <v>24</v>
      </c>
      <c r="C13" s="57" t="s">
        <v>25</v>
      </c>
      <c r="D13" s="58"/>
      <c r="E13" s="7" t="s">
        <v>26</v>
      </c>
      <c r="F13" s="52" t="str">
        <f>Esito!B12</f>
        <v>Frequenza e chilometri di guida</v>
      </c>
      <c r="G13" s="53"/>
      <c r="H13" s="52"/>
    </row>
    <row r="14" spans="1:11">
      <c r="A14" s="5" t="s">
        <v>27</v>
      </c>
      <c r="B14" s="6" t="s">
        <v>28</v>
      </c>
      <c r="C14" s="57" t="s">
        <v>29</v>
      </c>
      <c r="D14" s="58"/>
      <c r="E14" s="8"/>
      <c r="F14" s="52"/>
      <c r="G14" s="52"/>
      <c r="H14" s="52"/>
    </row>
    <row r="15" spans="1:11"/>
    <row r="16" spans="1:11"/>
    <row r="17" spans="1:8" ht="19.2" customHeight="1">
      <c r="A17" s="55" t="s">
        <v>30</v>
      </c>
      <c r="B17" s="55"/>
      <c r="C17" s="55"/>
      <c r="D17" s="55"/>
      <c r="E17" s="55"/>
      <c r="F17" s="55"/>
      <c r="G17" s="55"/>
      <c r="H17" s="55"/>
    </row>
    <row r="18" spans="1:8" ht="33.6" customHeight="1">
      <c r="A18" s="9" t="s">
        <v>31</v>
      </c>
      <c r="B18" s="10" t="s">
        <v>32</v>
      </c>
      <c r="C18" s="56" t="s">
        <v>33</v>
      </c>
      <c r="D18" s="56"/>
      <c r="E18" s="56"/>
      <c r="F18" s="56"/>
      <c r="G18" s="56"/>
      <c r="H18" s="56"/>
    </row>
    <row r="19" spans="1:8" ht="33.6" customHeight="1">
      <c r="A19" s="9" t="s">
        <v>34</v>
      </c>
      <c r="B19" s="10" t="s">
        <v>32</v>
      </c>
      <c r="C19" s="56" t="s">
        <v>35</v>
      </c>
      <c r="D19" s="56"/>
      <c r="E19" s="56"/>
      <c r="F19" s="56"/>
      <c r="G19" s="56"/>
      <c r="H19" s="56"/>
    </row>
    <row r="20" spans="1:8" ht="33.6" customHeight="1">
      <c r="A20" s="9" t="s">
        <v>36</v>
      </c>
      <c r="B20" s="10" t="s">
        <v>37</v>
      </c>
      <c r="C20" s="56" t="s">
        <v>38</v>
      </c>
      <c r="D20" s="56"/>
      <c r="E20" s="56"/>
      <c r="F20" s="56"/>
      <c r="G20" s="56"/>
      <c r="H20" s="56"/>
    </row>
    <row r="21" spans="1:8"/>
    <row r="22" spans="1:8"/>
    <row r="23" spans="1:8" ht="23.4" customHeight="1">
      <c r="A23" s="47" t="s">
        <v>425</v>
      </c>
      <c r="B23" s="47"/>
      <c r="C23" s="47"/>
      <c r="D23" s="47"/>
      <c r="E23" s="47"/>
      <c r="F23" s="47"/>
      <c r="G23" s="47"/>
      <c r="H23" s="47"/>
    </row>
  </sheetData>
  <mergeCells count="23">
    <mergeCell ref="C20:H20"/>
    <mergeCell ref="C9:D9"/>
    <mergeCell ref="C10:D10"/>
    <mergeCell ref="C11:D11"/>
    <mergeCell ref="C12:D12"/>
    <mergeCell ref="C13:D13"/>
    <mergeCell ref="C14:D14"/>
    <mergeCell ref="A23:H23"/>
    <mergeCell ref="A1:H1"/>
    <mergeCell ref="A2:H2"/>
    <mergeCell ref="A4:B4"/>
    <mergeCell ref="C4:D4"/>
    <mergeCell ref="E4:F4"/>
    <mergeCell ref="G4:H4"/>
    <mergeCell ref="A5:B6"/>
    <mergeCell ref="C5:D6"/>
    <mergeCell ref="E5:F6"/>
    <mergeCell ref="G5:H6"/>
    <mergeCell ref="F13:H14"/>
    <mergeCell ref="A8:H8"/>
    <mergeCell ref="A17:H17"/>
    <mergeCell ref="C18:H18"/>
    <mergeCell ref="C19:H19"/>
  </mergeCells>
  <conditionalFormatting sqref="A5">
    <cfRule type="expression" dxfId="15" priority="1">
      <formula>A5&gt;=70</formula>
    </cfRule>
    <cfRule type="expression" dxfId="14" priority="2">
      <formula>AND(A5&gt;=50,A5&lt;70)</formula>
    </cfRule>
    <cfRule type="expression" dxfId="13" priority="3">
      <formula>AND(A5&gt;=25,A5&lt;50)</formula>
    </cfRule>
    <cfRule type="expression" dxfId="12" priority="4">
      <formula>A5&lt;25</formula>
    </cfRule>
  </conditionalFormatting>
  <conditionalFormatting sqref="C5">
    <cfRule type="expression" dxfId="11" priority="5">
      <formula>C5&gt;=70</formula>
    </cfRule>
    <cfRule type="expression" dxfId="10" priority="6">
      <formula>AND(C5&gt;=50,C5&lt;70)</formula>
    </cfRule>
    <cfRule type="expression" dxfId="9" priority="7">
      <formula>AND(C5&gt;=25,C5&lt;50)</formula>
    </cfRule>
    <cfRule type="expression" dxfId="8" priority="8">
      <formula>C5&lt;25</formula>
    </cfRule>
  </conditionalFormatting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9"/>
  <sheetViews>
    <sheetView showGridLines="0" workbookViewId="0">
      <selection activeCell="A20" sqref="A20:XFD1048576"/>
    </sheetView>
  </sheetViews>
  <sheetFormatPr defaultColWidth="0" defaultRowHeight="13.8" zeroHeight="1"/>
  <cols>
    <col min="1" max="1" width="30" customWidth="1"/>
    <col min="2" max="2" width="45" customWidth="1"/>
    <col min="3" max="3" width="65" customWidth="1"/>
    <col min="4" max="8" width="0" hidden="1" customWidth="1"/>
    <col min="9" max="9" width="2.3984375" customWidth="1"/>
    <col min="10" max="13" width="0" hidden="1" customWidth="1"/>
    <col min="14" max="16384" width="8.796875" hidden="1"/>
  </cols>
  <sheetData>
    <row r="1" spans="1:13" ht="27.15" customHeight="1">
      <c r="A1" s="59" t="s">
        <v>39</v>
      </c>
      <c r="B1" s="59"/>
      <c r="C1" s="59"/>
      <c r="D1" s="59"/>
      <c r="E1" s="59"/>
      <c r="F1" s="59"/>
      <c r="G1" s="59"/>
      <c r="H1" s="59"/>
      <c r="I1" s="2"/>
      <c r="J1" s="2"/>
      <c r="K1" s="2"/>
    </row>
    <row r="2" spans="1:13">
      <c r="A2" s="13"/>
      <c r="B2" s="13"/>
      <c r="C2" s="13"/>
      <c r="D2" s="13"/>
      <c r="E2" s="13"/>
      <c r="F2" s="13"/>
      <c r="G2" s="13"/>
      <c r="H2" s="13"/>
    </row>
    <row r="3" spans="1:13">
      <c r="A3" s="60" t="s">
        <v>40</v>
      </c>
      <c r="B3" s="60"/>
      <c r="C3" s="60"/>
      <c r="D3" s="60"/>
      <c r="E3" s="60"/>
      <c r="F3" s="60"/>
      <c r="G3" s="60"/>
      <c r="H3" s="60"/>
    </row>
    <row r="4" spans="1:13">
      <c r="A4" s="13"/>
      <c r="B4" s="13"/>
      <c r="C4" s="13"/>
      <c r="D4" s="13"/>
      <c r="E4" s="13"/>
      <c r="F4" s="13"/>
      <c r="G4" s="13"/>
      <c r="H4" s="13"/>
      <c r="M4" t="s">
        <v>422</v>
      </c>
    </row>
    <row r="5" spans="1:13" ht="17.55" customHeight="1">
      <c r="A5" s="14" t="s">
        <v>41</v>
      </c>
      <c r="B5" s="14" t="s">
        <v>42</v>
      </c>
      <c r="C5" s="14" t="s">
        <v>43</v>
      </c>
      <c r="D5" s="13"/>
      <c r="E5" s="13"/>
      <c r="F5" s="13"/>
      <c r="G5" s="13"/>
      <c r="H5" s="13"/>
    </row>
    <row r="6" spans="1:13">
      <c r="A6" s="15" t="s">
        <v>44</v>
      </c>
      <c r="B6" s="16" t="s">
        <v>45</v>
      </c>
      <c r="C6" s="16" t="s">
        <v>46</v>
      </c>
      <c r="D6" s="13"/>
      <c r="E6" s="13"/>
      <c r="F6" s="13"/>
      <c r="G6" s="13"/>
      <c r="H6" s="13"/>
    </row>
    <row r="7" spans="1:13">
      <c r="A7" s="15" t="s">
        <v>47</v>
      </c>
      <c r="B7" s="16" t="s">
        <v>48</v>
      </c>
      <c r="C7" s="16" t="s">
        <v>49</v>
      </c>
      <c r="D7" s="13"/>
      <c r="E7" s="13"/>
      <c r="F7" s="13"/>
      <c r="G7" s="13"/>
      <c r="H7" s="13"/>
    </row>
    <row r="8" spans="1:13">
      <c r="A8" s="15" t="s">
        <v>50</v>
      </c>
      <c r="B8" s="17">
        <v>46200.586325474535</v>
      </c>
      <c r="C8" s="16" t="s">
        <v>51</v>
      </c>
      <c r="D8" s="13"/>
      <c r="E8" s="13"/>
      <c r="F8" s="13"/>
      <c r="G8" s="13"/>
      <c r="H8" s="13"/>
    </row>
    <row r="9" spans="1:13">
      <c r="A9" s="15" t="s">
        <v>52</v>
      </c>
      <c r="B9" s="16" t="s">
        <v>53</v>
      </c>
      <c r="C9" s="16" t="s">
        <v>54</v>
      </c>
      <c r="D9" s="13"/>
      <c r="E9" s="13"/>
      <c r="F9" s="13"/>
      <c r="G9" s="13"/>
      <c r="H9" s="13"/>
    </row>
    <row r="10" spans="1:13">
      <c r="A10" s="15" t="s">
        <v>55</v>
      </c>
      <c r="B10" s="16" t="s">
        <v>56</v>
      </c>
      <c r="C10" s="16" t="s">
        <v>57</v>
      </c>
      <c r="D10" s="13"/>
      <c r="E10" s="13"/>
      <c r="F10" s="13"/>
      <c r="G10" s="13"/>
      <c r="H10" s="13"/>
    </row>
    <row r="11" spans="1:13">
      <c r="A11" s="15" t="s">
        <v>58</v>
      </c>
      <c r="B11" s="16" t="s">
        <v>59</v>
      </c>
      <c r="C11" s="16" t="s">
        <v>60</v>
      </c>
      <c r="D11" s="13"/>
      <c r="E11" s="13"/>
      <c r="F11" s="13"/>
      <c r="G11" s="13"/>
      <c r="H11" s="13"/>
    </row>
    <row r="12" spans="1:13">
      <c r="A12" s="15" t="s">
        <v>61</v>
      </c>
      <c r="B12" s="16" t="s">
        <v>62</v>
      </c>
      <c r="C12" s="16" t="s">
        <v>63</v>
      </c>
      <c r="D12" s="13"/>
      <c r="E12" s="13"/>
      <c r="F12" s="13"/>
      <c r="G12" s="13"/>
      <c r="H12" s="13"/>
    </row>
    <row r="13" spans="1:13" ht="27.6">
      <c r="A13" s="15" t="s">
        <v>64</v>
      </c>
      <c r="B13" s="16" t="s">
        <v>65</v>
      </c>
      <c r="C13" s="16" t="s">
        <v>66</v>
      </c>
      <c r="D13" s="13"/>
      <c r="E13" s="13"/>
      <c r="F13" s="13"/>
      <c r="G13" s="13"/>
      <c r="H13" s="13"/>
    </row>
    <row r="14" spans="1:13">
      <c r="A14" s="15" t="s">
        <v>67</v>
      </c>
      <c r="B14" s="16" t="s">
        <v>68</v>
      </c>
      <c r="C14" s="16" t="s">
        <v>69</v>
      </c>
      <c r="D14" s="13"/>
      <c r="E14" s="13"/>
      <c r="F14" s="13"/>
      <c r="G14" s="13"/>
      <c r="H14" s="13"/>
    </row>
    <row r="15" spans="1:13">
      <c r="A15" s="15" t="s">
        <v>70</v>
      </c>
      <c r="B15" s="16">
        <v>180</v>
      </c>
      <c r="C15" s="16" t="s">
        <v>71</v>
      </c>
      <c r="D15" s="13"/>
      <c r="E15" s="13"/>
      <c r="F15" s="13"/>
      <c r="G15" s="13"/>
      <c r="H15" s="13"/>
    </row>
    <row r="16" spans="1:13">
      <c r="A16" s="15" t="s">
        <v>72</v>
      </c>
      <c r="B16" s="16">
        <v>3.5</v>
      </c>
      <c r="C16" s="16" t="s">
        <v>73</v>
      </c>
      <c r="D16" s="13"/>
      <c r="E16" s="13"/>
      <c r="F16" s="13"/>
      <c r="G16" s="13"/>
      <c r="H16" s="13"/>
    </row>
    <row r="17" spans="1:8" ht="27.6">
      <c r="A17" s="15" t="s">
        <v>74</v>
      </c>
      <c r="B17" s="16" t="s">
        <v>75</v>
      </c>
      <c r="C17" s="16" t="s">
        <v>76</v>
      </c>
      <c r="D17" s="13"/>
      <c r="E17" s="13"/>
      <c r="F17" s="13"/>
      <c r="G17" s="13"/>
      <c r="H17" s="13"/>
    </row>
    <row r="18" spans="1:8" ht="27.6">
      <c r="A18" s="15" t="s">
        <v>77</v>
      </c>
      <c r="B18" s="16" t="s">
        <v>78</v>
      </c>
      <c r="C18" s="16" t="s">
        <v>79</v>
      </c>
      <c r="D18" s="13"/>
      <c r="E18" s="13"/>
      <c r="F18" s="13"/>
      <c r="G18" s="13"/>
      <c r="H18" s="13"/>
    </row>
    <row r="19" spans="1:8"/>
  </sheetData>
  <mergeCells count="2">
    <mergeCell ref="A1:H1"/>
    <mergeCell ref="A3:H3"/>
  </mergeCells>
  <dataValidations count="2">
    <dataValidation type="list" sqref="B12" xr:uid="{00000000-0002-0000-0100-000000000000}">
      <formula1>"Aziendale,Mezzo proprio autorizzato,Noleggio/leasing,Veicolo condiviso,Altro"</formula1>
    </dataValidation>
    <dataValidation type="list" sqref="B17" xr:uid="{00000000-0002-0000-0100-000001000000}">
      <formula1>"Sì,No"</formula1>
    </dataValidation>
  </dataValidation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8"/>
  <sheetViews>
    <sheetView workbookViewId="0">
      <selection activeCell="E6" sqref="E6"/>
    </sheetView>
  </sheetViews>
  <sheetFormatPr defaultColWidth="0" defaultRowHeight="13.8"/>
  <cols>
    <col min="1" max="1" width="18" customWidth="1"/>
    <col min="2" max="2" width="30" customWidth="1"/>
    <col min="3" max="3" width="46" customWidth="1"/>
    <col min="4" max="4" width="14" customWidth="1"/>
    <col min="5" max="5" width="10" customWidth="1"/>
    <col min="6" max="6" width="12" customWidth="1"/>
    <col min="7" max="7" width="50" customWidth="1"/>
    <col min="8" max="8" width="44" customWidth="1"/>
    <col min="9" max="9" width="34" hidden="1" customWidth="1"/>
    <col min="10" max="10" width="24" hidden="1" customWidth="1"/>
    <col min="11" max="11" width="16" hidden="1" customWidth="1"/>
    <col min="12" max="12" width="2.59765625" customWidth="1"/>
    <col min="13" max="16384" width="8.796875" hidden="1"/>
  </cols>
  <sheetData>
    <row r="1" spans="1:11" ht="27.15" customHeight="1">
      <c r="A1" s="48" t="s">
        <v>80</v>
      </c>
      <c r="B1" s="48"/>
      <c r="C1" s="48"/>
      <c r="D1" s="48"/>
      <c r="E1" s="48"/>
      <c r="F1" s="48"/>
      <c r="G1" s="48"/>
      <c r="H1" s="48"/>
      <c r="I1" s="48"/>
      <c r="J1" s="3" t="s">
        <v>81</v>
      </c>
      <c r="K1" s="3" t="s">
        <v>42</v>
      </c>
    </row>
    <row r="3" spans="1:11">
      <c r="A3" s="49" t="s">
        <v>83</v>
      </c>
      <c r="B3" s="49"/>
      <c r="C3" s="49"/>
      <c r="D3" s="49"/>
      <c r="E3" s="49"/>
      <c r="F3" s="49"/>
      <c r="G3" s="49"/>
      <c r="H3" s="49"/>
      <c r="I3" s="49"/>
    </row>
    <row r="5" spans="1:11" ht="17.55" customHeight="1">
      <c r="A5" s="19" t="s">
        <v>86</v>
      </c>
      <c r="B5" s="19" t="s">
        <v>87</v>
      </c>
      <c r="C5" s="19" t="s">
        <v>88</v>
      </c>
      <c r="D5" s="19" t="s">
        <v>89</v>
      </c>
      <c r="E5" s="19" t="s">
        <v>90</v>
      </c>
      <c r="F5" s="19" t="s">
        <v>91</v>
      </c>
      <c r="G5" s="19" t="s">
        <v>92</v>
      </c>
      <c r="H5" s="19" t="s">
        <v>93</v>
      </c>
      <c r="I5" s="1" t="s">
        <v>94</v>
      </c>
    </row>
    <row r="6" spans="1:11" ht="27.6">
      <c r="A6" s="18" t="s">
        <v>96</v>
      </c>
      <c r="B6" s="20" t="s">
        <v>97</v>
      </c>
      <c r="C6" s="20" t="s">
        <v>98</v>
      </c>
      <c r="D6" s="11">
        <v>4</v>
      </c>
      <c r="E6" s="11">
        <v>6</v>
      </c>
      <c r="F6" s="11">
        <f t="shared" ref="F6:F23" si="0">D6*E6</f>
        <v>24</v>
      </c>
      <c r="G6" s="20" t="str">
        <f>CHOOSE(D6+1,"Guida occasionale e breve, esposizione minima.","Spostamenti sporadici con percorrenze contenute.","Guida ricorrente ma entro limiti gestibili.","Guida frequente o lunga, esposizione elevata.","Guida quotidiana/estesa, esposizione molto alta.")</f>
        <v>Guida quotidiana/estesa, esposizione molto alta.</v>
      </c>
      <c r="H6" s="20" t="s">
        <v>99</v>
      </c>
    </row>
    <row r="7" spans="1:11" ht="27.6">
      <c r="A7" s="18" t="s">
        <v>96</v>
      </c>
      <c r="B7" s="20" t="s">
        <v>100</v>
      </c>
      <c r="C7" s="20" t="s">
        <v>101</v>
      </c>
      <c r="D7" s="11">
        <v>2</v>
      </c>
      <c r="E7" s="11">
        <v>5</v>
      </c>
      <c r="F7" s="11">
        <f t="shared" si="0"/>
        <v>10</v>
      </c>
      <c r="G7" s="20" t="str">
        <f>CHOOSE(D7+1,"Durata breve con pause non necessarie o già previste.","Durata contenuta con pausa possibile.","Durata media, pausa da pianificare.","Durata lunga con rischio affaticamento.","Durata molto lunga o senza pause realistiche.")</f>
        <v>Durata media, pausa da pianificare.</v>
      </c>
      <c r="H7" s="20" t="s">
        <v>102</v>
      </c>
    </row>
    <row r="8" spans="1:11" ht="27.6">
      <c r="A8" s="18" t="s">
        <v>103</v>
      </c>
      <c r="B8" s="20" t="s">
        <v>104</v>
      </c>
      <c r="C8" s="20" t="s">
        <v>105</v>
      </c>
      <c r="D8" s="11">
        <v>2</v>
      </c>
      <c r="E8" s="11">
        <v>5</v>
      </c>
      <c r="F8" s="11">
        <f t="shared" si="0"/>
        <v>10</v>
      </c>
      <c r="G8" s="20" t="str">
        <f>CHOOSE(D8+1,"Solo fascia diurna ordinaria.","Rari passaggi in orari meno favorevoli.","Presenza di mattina presto/sera.","Guida notturna o dopo giornata intensa.","Guida in fascia critica con forte rischio sonnolenza.")</f>
        <v>Presenza di mattina presto/sera.</v>
      </c>
      <c r="H8" s="20" t="s">
        <v>106</v>
      </c>
    </row>
    <row r="9" spans="1:11" ht="27.6">
      <c r="A9" s="18" t="s">
        <v>107</v>
      </c>
      <c r="B9" s="20" t="s">
        <v>108</v>
      </c>
      <c r="C9" s="20" t="s">
        <v>109</v>
      </c>
      <c r="D9" s="11">
        <v>3</v>
      </c>
      <c r="E9" s="11">
        <v>7</v>
      </c>
      <c r="F9" s="11">
        <f t="shared" si="0"/>
        <v>21</v>
      </c>
      <c r="G9" s="20" t="str">
        <f>CHOOSE(D9+1,"Tempi realistici e margini adeguati.","Margini presenti ma da monitorare.","Alcuni appuntamenti ravvicinati.","Tempi compressi che possono indurre fretta.","Urgenza/pressione incompatibile con guida sicura.")</f>
        <v>Tempi compressi che possono indurre fretta.</v>
      </c>
      <c r="H9" s="20" t="s">
        <v>110</v>
      </c>
    </row>
    <row r="10" spans="1:11" ht="27.6">
      <c r="A10" s="18" t="s">
        <v>107</v>
      </c>
      <c r="B10" s="20" t="s">
        <v>111</v>
      </c>
      <c r="C10" s="20" t="s">
        <v>112</v>
      </c>
      <c r="D10" s="11">
        <v>1</v>
      </c>
      <c r="E10" s="11">
        <v>5</v>
      </c>
      <c r="F10" s="11">
        <f t="shared" si="0"/>
        <v>5</v>
      </c>
      <c r="G10" s="20" t="str">
        <f>CHOOSE(D10+1,"Percorso noto, pianificato e con alternative.","Percorso noto con poche incognite.","Pianificazione parziale.","Percorso complesso o poco pianificato.","Percorso improvvisato senza tempi o soste definite.")</f>
        <v>Percorso noto con poche incognite.</v>
      </c>
      <c r="H10" s="20" t="s">
        <v>113</v>
      </c>
    </row>
    <row r="11" spans="1:11" ht="27.6">
      <c r="A11" s="18" t="s">
        <v>114</v>
      </c>
      <c r="B11" s="20" t="s">
        <v>115</v>
      </c>
      <c r="C11" s="20" t="s">
        <v>116</v>
      </c>
      <c r="D11" s="11">
        <v>3</v>
      </c>
      <c r="E11" s="11">
        <v>8</v>
      </c>
      <c r="F11" s="11">
        <f t="shared" si="0"/>
        <v>24</v>
      </c>
      <c r="G11" s="20" t="str">
        <f>CHOOSE(D11+1,"Riposo adeguato e nessun segnale di affaticamento.","Lieve affaticamento controllato.","Affaticamento possibile da monitorare.","Stanchezza significativa o recupero insufficiente.","Non in condizioni di guidare in sicurezza.")</f>
        <v>Stanchezza significativa o recupero insufficiente.</v>
      </c>
      <c r="H11" s="20" t="s">
        <v>117</v>
      </c>
    </row>
    <row r="12" spans="1:11" ht="27.6">
      <c r="A12" s="18" t="s">
        <v>114</v>
      </c>
      <c r="B12" s="20" t="s">
        <v>118</v>
      </c>
      <c r="C12" s="20" t="s">
        <v>119</v>
      </c>
      <c r="D12" s="11">
        <v>2</v>
      </c>
      <c r="E12" s="11">
        <v>7</v>
      </c>
      <c r="F12" s="11">
        <f t="shared" si="0"/>
        <v>14</v>
      </c>
      <c r="G12" s="20" t="str">
        <f>CHOOSE(D12+1,"Regole chiare e nessuna distrazione prevista.","Uso dispositivi limitato e gestito.","Possibili interruzioni durante la guida.","Distrazioni frequenti o chiamate operative.","Uso dispositivi/pressioni incompatibili con attenzione.")</f>
        <v>Possibili interruzioni durante la guida.</v>
      </c>
      <c r="H12" s="20" t="s">
        <v>120</v>
      </c>
    </row>
    <row r="13" spans="1:11" ht="27.6">
      <c r="A13" s="18" t="s">
        <v>114</v>
      </c>
      <c r="B13" s="20" t="s">
        <v>121</v>
      </c>
      <c r="C13" s="20" t="s">
        <v>122</v>
      </c>
      <c r="D13" s="11">
        <v>1</v>
      </c>
      <c r="E13" s="11">
        <v>5</v>
      </c>
      <c r="F13" s="11">
        <f t="shared" si="0"/>
        <v>5</v>
      </c>
      <c r="G13" s="20" t="str">
        <f>CHOOSE(D13+1,"Formazione aggiornata e procedure conosciute.","Informazione presente ma da consolidare.","Formazione non recente o parziale.","Procedure non pienamente note.","Assenza di formazione/procedure essenziali.")</f>
        <v>Informazione presente ma da consolidare.</v>
      </c>
      <c r="H13" s="20" t="s">
        <v>123</v>
      </c>
    </row>
    <row r="14" spans="1:11" ht="27.6">
      <c r="A14" s="18" t="s">
        <v>114</v>
      </c>
      <c r="B14" s="20" t="s">
        <v>124</v>
      </c>
      <c r="C14" s="20" t="s">
        <v>125</v>
      </c>
      <c r="D14" s="11">
        <v>2</v>
      </c>
      <c r="E14" s="11">
        <v>4</v>
      </c>
      <c r="F14" s="11">
        <f t="shared" si="0"/>
        <v>8</v>
      </c>
      <c r="G14" s="20" t="str">
        <f>CHOOSE(D14+1,"Scenario conosciuto e conducente esperto.","Esperienza sufficiente.","Scenario nuovo ma gestibile.","Scenario complesso o poca esperienza.","Scenario nuovo/critico senza supporto.")</f>
        <v>Scenario nuovo ma gestibile.</v>
      </c>
      <c r="H14" s="20" t="s">
        <v>126</v>
      </c>
    </row>
    <row r="15" spans="1:11" ht="27.6">
      <c r="A15" s="18" t="s">
        <v>127</v>
      </c>
      <c r="B15" s="20" t="s">
        <v>128</v>
      </c>
      <c r="C15" s="20" t="s">
        <v>129</v>
      </c>
      <c r="D15" s="11">
        <v>2</v>
      </c>
      <c r="E15" s="11">
        <v>8</v>
      </c>
      <c r="F15" s="11">
        <f t="shared" si="0"/>
        <v>16</v>
      </c>
      <c r="G15" s="20" t="str">
        <f>CHOOSE(D15+1,"Veicolo controllato, manutenzione documentata.","Scadenze sotto controllo.","Alcune verifiche da aggiornare.","Manutenzione incerta o anomalie minori.","Anomalia rilevante per la sicurezza.")</f>
        <v>Alcune verifiche da aggiornare.</v>
      </c>
      <c r="H15" s="20" t="s">
        <v>130</v>
      </c>
    </row>
    <row r="16" spans="1:11" ht="27.6">
      <c r="A16" s="18" t="s">
        <v>127</v>
      </c>
      <c r="B16" s="20" t="s">
        <v>131</v>
      </c>
      <c r="C16" s="20" t="s">
        <v>132</v>
      </c>
      <c r="D16" s="11">
        <v>2</v>
      </c>
      <c r="E16" s="11">
        <v>6</v>
      </c>
      <c r="F16" s="11">
        <f t="shared" si="0"/>
        <v>12</v>
      </c>
      <c r="G16" s="20" t="str">
        <f>CHOOSE(D16+1,"Pneumatici/luci/dotazioni verificati.","Controlli recenti ma non formalizzati.","Controlli parziali.","Dotazioni incomplete o verifiche carenti.","Pneumatici/luci/dotazioni non sicuri.")</f>
        <v>Controlli parziali.</v>
      </c>
      <c r="H16" s="20" t="s">
        <v>133</v>
      </c>
    </row>
    <row r="17" spans="1:8" ht="27.6">
      <c r="A17" s="18" t="s">
        <v>134</v>
      </c>
      <c r="B17" s="20" t="s">
        <v>135</v>
      </c>
      <c r="C17" s="20" t="s">
        <v>136</v>
      </c>
      <c r="D17" s="11">
        <v>2</v>
      </c>
      <c r="E17" s="11">
        <v>6</v>
      </c>
      <c r="F17" s="11">
        <f t="shared" si="0"/>
        <v>12</v>
      </c>
      <c r="G17" s="20" t="str">
        <f>CHOOSE(D17+1,"Documenti completi e coerenti con uso.","Documenti presenti con verifica semplice.","Qualche scadenza da monitorare.","Documentazione incompleta o dubbia.","Documento essenziale mancante/non valido.")</f>
        <v>Qualche scadenza da monitorare.</v>
      </c>
      <c r="H17" s="20" t="s">
        <v>137</v>
      </c>
    </row>
    <row r="18" spans="1:8" ht="27.6">
      <c r="A18" s="18" t="s">
        <v>138</v>
      </c>
      <c r="B18" s="20" t="s">
        <v>139</v>
      </c>
      <c r="C18" s="20" t="s">
        <v>140</v>
      </c>
      <c r="D18" s="11">
        <v>1</v>
      </c>
      <c r="E18" s="11">
        <v>5</v>
      </c>
      <c r="F18" s="11">
        <f t="shared" si="0"/>
        <v>5</v>
      </c>
      <c r="G18" s="20" t="str">
        <f>CHOOSE(D18+1,"Nessun carico critico.","Carico leggero e stabile.","Attrezzature da verificare.","Carico/passeggeri aumentano complessità.","Carico non sicuro o visibilità compromessa.")</f>
        <v>Carico leggero e stabile.</v>
      </c>
      <c r="H18" s="20" t="s">
        <v>141</v>
      </c>
    </row>
    <row r="19" spans="1:8" ht="27.6">
      <c r="A19" s="18" t="s">
        <v>142</v>
      </c>
      <c r="B19" s="20" t="s">
        <v>143</v>
      </c>
      <c r="C19" s="20" t="s">
        <v>144</v>
      </c>
      <c r="D19" s="11">
        <v>2</v>
      </c>
      <c r="E19" s="11">
        <v>6</v>
      </c>
      <c r="F19" s="11">
        <f t="shared" si="0"/>
        <v>12</v>
      </c>
      <c r="G19" s="20" t="str">
        <f>CHOOSE(D19+1,"Condizioni favorevoli.","Condizioni ordinarie con lievi criticità.","Meteo/traffico da monitorare.","Condizioni difficili o cantieri rilevanti.","Condizioni incompatibili con missione sicura.")</f>
        <v>Meteo/traffico da monitorare.</v>
      </c>
      <c r="H19" s="20" t="s">
        <v>145</v>
      </c>
    </row>
    <row r="20" spans="1:8" ht="27.6">
      <c r="A20" s="18" t="s">
        <v>146</v>
      </c>
      <c r="B20" s="20" t="s">
        <v>147</v>
      </c>
      <c r="C20" s="20" t="s">
        <v>148</v>
      </c>
      <c r="D20" s="11">
        <v>3</v>
      </c>
      <c r="E20" s="11">
        <v>6</v>
      </c>
      <c r="F20" s="11">
        <f t="shared" si="0"/>
        <v>18</v>
      </c>
      <c r="G20" s="20" t="str">
        <f>CHOOSE(D20+1,"Mezzo proprio non usato o pienamente controllato.","Autorizzazione e documenti disponibili.","Uso motivato ma con verifiche residue.","Uso frequente con documentazione da rafforzare.","Uso non motivato/documentato o mezzo non idoneo.")</f>
        <v>Uso frequente con documentazione da rafforzare.</v>
      </c>
      <c r="H20" s="20" t="s">
        <v>149</v>
      </c>
    </row>
    <row r="21" spans="1:8" ht="27.6">
      <c r="A21" s="18" t="s">
        <v>150</v>
      </c>
      <c r="B21" s="20" t="s">
        <v>151</v>
      </c>
      <c r="C21" s="20" t="s">
        <v>152</v>
      </c>
      <c r="D21" s="11">
        <v>2</v>
      </c>
      <c r="E21" s="11">
        <v>5</v>
      </c>
      <c r="F21" s="11">
        <f t="shared" si="0"/>
        <v>10</v>
      </c>
      <c r="G21" s="20" t="str">
        <f>CHOOSE(D21+1,"Pause e recupero adeguati.","Pause possibili e ragionevoli.","Pause da pianificare meglio.","Pause insufficienti o ergonomia critica.","Nessun recupero possibile in scenario impegnativo.")</f>
        <v>Pause da pianificare meglio.</v>
      </c>
      <c r="H21" s="20" t="s">
        <v>153</v>
      </c>
    </row>
    <row r="22" spans="1:8" ht="27.6">
      <c r="A22" s="18" t="s">
        <v>154</v>
      </c>
      <c r="B22" s="20" t="s">
        <v>155</v>
      </c>
      <c r="C22" s="20" t="s">
        <v>156</v>
      </c>
      <c r="D22" s="11">
        <v>3</v>
      </c>
      <c r="E22" s="11">
        <v>5</v>
      </c>
      <c r="F22" s="11">
        <f t="shared" si="0"/>
        <v>15</v>
      </c>
      <c r="G22" s="20" t="str">
        <f>CHOOSE(D22+1,"Nessun evento o criticità recente.","Evento minore gestito.","Near miss da analizzare.","Eventi ricorrenti o non chiusi.","Incidenti/near miss gravi senza azioni correttive.")</f>
        <v>Eventi ricorrenti o non chiusi.</v>
      </c>
      <c r="H22" s="20" t="s">
        <v>157</v>
      </c>
    </row>
    <row r="23" spans="1:8" ht="27.6">
      <c r="A23" s="18" t="s">
        <v>107</v>
      </c>
      <c r="B23" s="20" t="s">
        <v>158</v>
      </c>
      <c r="C23" s="20" t="s">
        <v>159</v>
      </c>
      <c r="D23" s="11">
        <v>2</v>
      </c>
      <c r="E23" s="11">
        <v>6</v>
      </c>
      <c r="F23" s="11">
        <f t="shared" si="0"/>
        <v>12</v>
      </c>
      <c r="G23" s="20" t="str">
        <f>CHOOSE(D23+1,"Nessuna reperibilità durante la guida.","Richieste limitate e gestibili.","Contatti possibili ma regolati.","Interruzioni frequenti e stress operative.","Reperibilità/urgenze incompatibili con guida sicura.")</f>
        <v>Contatti possibili ma regolati.</v>
      </c>
      <c r="H23" s="20" t="s">
        <v>160</v>
      </c>
    </row>
    <row r="25" spans="1:8">
      <c r="A25" s="18" t="s">
        <v>82</v>
      </c>
      <c r="B25" s="18">
        <f>ROUND(SUM(F6:F23)/(4*SUM(E6:E23))*100,0)</f>
        <v>55</v>
      </c>
    </row>
    <row r="26" spans="1:8">
      <c r="A26" s="18" t="s">
        <v>84</v>
      </c>
      <c r="B26" s="18">
        <f>MAX(1,ROUNDUP(B25/20,0))</f>
        <v>3</v>
      </c>
    </row>
    <row r="27" spans="1:8">
      <c r="A27" s="18" t="s">
        <v>85</v>
      </c>
      <c r="B27" s="18">
        <f>SUM(E6:E23)</f>
        <v>105</v>
      </c>
    </row>
    <row r="28" spans="1:8">
      <c r="A28" s="18" t="s">
        <v>95</v>
      </c>
      <c r="B28" s="18">
        <f>SUM(F6:F23)</f>
        <v>233</v>
      </c>
    </row>
  </sheetData>
  <mergeCells count="2">
    <mergeCell ref="A1:I1"/>
    <mergeCell ref="A3:I3"/>
  </mergeCells>
  <conditionalFormatting sqref="D6:D23">
    <cfRule type="colorScale" priority="1">
      <colorScale>
        <cfvo type="min"/>
        <cfvo type="percentile" val="50"/>
        <cfvo type="max"/>
        <color rgb="FFDCFCE7"/>
        <color rgb="FFFEF3C7"/>
        <color rgb="FFFEE2E2"/>
      </colorScale>
    </cfRule>
  </conditionalFormatting>
  <conditionalFormatting sqref="F6:F23">
    <cfRule type="colorScale" priority="2">
      <colorScale>
        <cfvo type="min"/>
        <cfvo type="percentile" val="50"/>
        <cfvo type="max"/>
        <color rgb="FFDCFCE7"/>
        <color rgb="FFFEF3C7"/>
        <color rgb="FFFEE2E2"/>
      </colorScale>
    </cfRule>
  </conditionalFormatting>
  <dataValidations count="1">
    <dataValidation type="list" sqref="D6:D23" xr:uid="{00000000-0002-0000-0200-000000000000}">
      <formula1>"0,1,2,3,4"</formula1>
    </dataValidation>
  </dataValidations>
  <pageMargins left="0.70866141732283472" right="0.70866141732283472" top="0.74803149606299213" bottom="0.74803149606299213" header="0.31496062992125984" footer="0.31496062992125984"/>
  <pageSetup paperSize="9" scale="53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0"/>
  <sheetViews>
    <sheetView workbookViewId="0">
      <selection sqref="A1:I51"/>
    </sheetView>
  </sheetViews>
  <sheetFormatPr defaultRowHeight="13.8"/>
  <cols>
    <col min="1" max="1" width="32.3984375" customWidth="1"/>
    <col min="2" max="2" width="38" customWidth="1"/>
    <col min="3" max="3" width="45" customWidth="1"/>
    <col min="4" max="4" width="24" customWidth="1"/>
    <col min="5" max="5" width="16" customWidth="1"/>
    <col min="6" max="6" width="24" customWidth="1"/>
    <col min="7" max="7" width="18" customWidth="1"/>
    <col min="8" max="8" width="16" customWidth="1"/>
    <col min="9" max="9" width="34" customWidth="1"/>
  </cols>
  <sheetData>
    <row r="1" spans="1:11" ht="27.15" customHeight="1">
      <c r="A1" s="48" t="s">
        <v>161</v>
      </c>
      <c r="B1" s="48"/>
      <c r="C1" s="48"/>
      <c r="D1" s="48"/>
      <c r="E1" s="48"/>
      <c r="F1" s="48"/>
      <c r="G1" s="48"/>
      <c r="H1" s="48"/>
      <c r="I1" s="63"/>
      <c r="J1" s="2"/>
      <c r="K1" s="2"/>
    </row>
    <row r="2" spans="1:11">
      <c r="I2" s="63"/>
    </row>
    <row r="3" spans="1:11">
      <c r="A3" s="49" t="s">
        <v>162</v>
      </c>
      <c r="B3" s="49"/>
      <c r="C3" s="49"/>
      <c r="D3" s="49"/>
      <c r="E3" s="49"/>
      <c r="F3" s="49"/>
      <c r="G3" s="49"/>
      <c r="H3" s="49"/>
      <c r="I3" s="63"/>
    </row>
    <row r="4" spans="1:11">
      <c r="I4" s="63"/>
    </row>
    <row r="5" spans="1:11" ht="19.2" customHeight="1">
      <c r="A5" s="67" t="s">
        <v>163</v>
      </c>
      <c r="B5" s="67"/>
      <c r="C5" s="67"/>
      <c r="D5" s="67"/>
      <c r="E5" s="67"/>
      <c r="F5" s="67"/>
      <c r="G5" s="67"/>
      <c r="H5" s="67"/>
      <c r="I5" s="63"/>
    </row>
    <row r="6" spans="1:11" ht="24" customHeight="1">
      <c r="A6" s="68">
        <v>5</v>
      </c>
      <c r="B6" s="68"/>
      <c r="C6" s="68"/>
      <c r="D6" s="68"/>
      <c r="E6" s="68"/>
      <c r="F6" s="68"/>
      <c r="G6" s="68"/>
      <c r="H6" s="68"/>
      <c r="I6" s="63"/>
    </row>
    <row r="7" spans="1:11" ht="91.2">
      <c r="A7" s="21" t="s">
        <v>164</v>
      </c>
      <c r="B7" s="21" t="s">
        <v>164</v>
      </c>
      <c r="C7" s="21" t="s">
        <v>164</v>
      </c>
      <c r="D7" s="21" t="s">
        <v>164</v>
      </c>
      <c r="E7" s="21" t="s">
        <v>164</v>
      </c>
      <c r="F7" s="21" t="s">
        <v>164</v>
      </c>
      <c r="G7" s="21" t="s">
        <v>164</v>
      </c>
      <c r="H7" s="21" t="s">
        <v>164</v>
      </c>
      <c r="I7" s="63"/>
    </row>
    <row r="8" spans="1:11">
      <c r="I8" s="63"/>
    </row>
    <row r="9" spans="1:11">
      <c r="A9" s="69" t="str">
        <f>"RISCHIO INERENTE DVR"&amp;CHAR(10)&amp;Questionario!$B$26&amp;" × "&amp;$A$6&amp;" = "&amp;(Questionario!$B$26*$A$6)&amp;"/25"&amp;CHAR(10)&amp;IF(Questionario!$B$26*$A$6&gt;=20,"Critico",IF(Questionario!$B$26*$A$6&gt;=12,"Rilevante",IF(Questionario!$B$26*$A$6&gt;=6,"Moderato","Basso")))</f>
        <v>RISCHIO INERENTE DVR
3 × 5 = 15/25
Rilevante</v>
      </c>
      <c r="B9" s="69"/>
      <c r="C9" s="69"/>
      <c r="D9" s="69"/>
      <c r="E9" s="70" t="str">
        <f>"RISCHIO RESIDUO DVR"&amp;CHAR(10)&amp;MAX(1,ROUNDUP($B$17/20,0))&amp;" × "&amp;$A$6&amp;" = "&amp;(MAX(1,ROUNDUP($B$17/20,0))*$A$6)&amp;"/25"&amp;CHAR(10)&amp;IF(MAX(1,ROUNDUP($B$17/20,0))*$A$6&gt;=20,"Critico",IF(MAX(1,ROUNDUP($B$17/20,0))*$A$6&gt;=12,"Rilevante",IF(MAX(1,ROUNDUP($B$17/20,0))*$A$6&gt;=6,"Moderato","Basso")))</f>
        <v>RISCHIO RESIDUO DVR
2 × 5 = 10/25
Moderato</v>
      </c>
      <c r="F9" s="70"/>
      <c r="G9" s="70"/>
      <c r="H9" s="70"/>
      <c r="I9" s="63"/>
    </row>
    <row r="10" spans="1:11">
      <c r="A10" s="69"/>
      <c r="B10" s="69"/>
      <c r="C10" s="69"/>
      <c r="D10" s="69"/>
      <c r="E10" s="70"/>
      <c r="F10" s="70"/>
      <c r="G10" s="70"/>
      <c r="H10" s="70"/>
      <c r="I10" s="63"/>
    </row>
    <row r="11" spans="1:11">
      <c r="A11" s="69"/>
      <c r="B11" s="69"/>
      <c r="C11" s="69"/>
      <c r="D11" s="69"/>
      <c r="E11" s="70"/>
      <c r="F11" s="70"/>
      <c r="G11" s="70"/>
      <c r="H11" s="70"/>
      <c r="I11" s="63"/>
    </row>
    <row r="12" spans="1:11">
      <c r="A12" s="69"/>
      <c r="B12" s="69"/>
      <c r="C12" s="69"/>
      <c r="D12" s="69"/>
      <c r="E12" s="70"/>
      <c r="F12" s="70"/>
      <c r="G12" s="70"/>
      <c r="H12" s="70"/>
      <c r="I12" s="63"/>
    </row>
    <row r="13" spans="1:11">
      <c r="A13" s="64"/>
      <c r="B13" s="64"/>
      <c r="C13" s="64"/>
      <c r="D13" s="64"/>
      <c r="E13" s="64"/>
      <c r="F13" s="64"/>
      <c r="G13" s="64"/>
      <c r="H13" s="64"/>
      <c r="I13" s="63"/>
    </row>
    <row r="14" spans="1:11">
      <c r="A14" s="66"/>
      <c r="B14" s="66"/>
      <c r="C14" s="66"/>
      <c r="D14" s="65"/>
      <c r="E14" s="65"/>
      <c r="F14" s="65"/>
      <c r="G14" s="65"/>
      <c r="H14" s="65"/>
      <c r="I14" s="63"/>
    </row>
    <row r="15" spans="1:11" ht="17.55" customHeight="1">
      <c r="A15" s="19" t="s">
        <v>165</v>
      </c>
      <c r="B15" s="19" t="s">
        <v>42</v>
      </c>
      <c r="C15" s="19" t="s">
        <v>166</v>
      </c>
      <c r="D15" s="65"/>
      <c r="E15" s="65"/>
      <c r="F15" s="65"/>
      <c r="G15" s="65"/>
      <c r="H15" s="65"/>
      <c r="I15" s="63"/>
    </row>
    <row r="16" spans="1:11">
      <c r="A16" s="18" t="s">
        <v>82</v>
      </c>
      <c r="B16" s="18">
        <f>Questionario!$B$25</f>
        <v>55</v>
      </c>
      <c r="C16" s="20" t="s">
        <v>167</v>
      </c>
      <c r="D16" s="65"/>
      <c r="E16" s="65"/>
      <c r="F16" s="65"/>
      <c r="G16" s="65"/>
      <c r="H16" s="65"/>
      <c r="I16" s="63"/>
    </row>
    <row r="17" spans="1:9" ht="27.6">
      <c r="A17" s="18" t="s">
        <v>168</v>
      </c>
      <c r="B17" s="18">
        <f>ROUND(MAX(0,Questionario!$B$25-MIN(SUM(H24:H37),Questionario!$B$25*0.45)),0)</f>
        <v>30</v>
      </c>
      <c r="C17" s="20" t="s">
        <v>169</v>
      </c>
      <c r="D17" s="65"/>
      <c r="E17" s="65"/>
      <c r="F17" s="65"/>
      <c r="G17" s="65"/>
      <c r="H17" s="65"/>
      <c r="I17" s="63"/>
    </row>
    <row r="18" spans="1:9">
      <c r="A18" s="18" t="s">
        <v>170</v>
      </c>
      <c r="B18" s="18">
        <f>Questionario!$B$26*$A$6</f>
        <v>15</v>
      </c>
      <c r="C18" s="20" t="s">
        <v>171</v>
      </c>
      <c r="D18" s="65"/>
      <c r="E18" s="65"/>
      <c r="F18" s="65"/>
      <c r="G18" s="65"/>
      <c r="H18" s="65"/>
      <c r="I18" s="63"/>
    </row>
    <row r="19" spans="1:9">
      <c r="A19" s="18" t="s">
        <v>172</v>
      </c>
      <c r="B19" s="18">
        <f>MAX(1,ROUNDUP(B17/20,0))*$A$6</f>
        <v>10</v>
      </c>
      <c r="C19" s="20" t="s">
        <v>173</v>
      </c>
      <c r="D19" s="65"/>
      <c r="E19" s="65"/>
      <c r="F19" s="65"/>
      <c r="G19" s="65"/>
      <c r="H19" s="65"/>
      <c r="I19" s="63"/>
    </row>
    <row r="20" spans="1:9">
      <c r="A20" s="64"/>
      <c r="B20" s="64"/>
      <c r="C20" s="64"/>
      <c r="D20" s="65"/>
      <c r="E20" s="65"/>
      <c r="F20" s="65"/>
      <c r="G20" s="65"/>
      <c r="H20" s="65"/>
      <c r="I20" s="63"/>
    </row>
    <row r="21" spans="1:9">
      <c r="A21" s="65"/>
      <c r="B21" s="65"/>
      <c r="C21" s="65"/>
      <c r="D21" s="65"/>
      <c r="E21" s="65"/>
      <c r="F21" s="65"/>
      <c r="G21" s="65"/>
      <c r="H21" s="65"/>
      <c r="I21" s="63"/>
    </row>
    <row r="22" spans="1:9">
      <c r="A22" s="65"/>
      <c r="B22" s="65"/>
      <c r="C22" s="65"/>
      <c r="D22" s="65"/>
      <c r="E22" s="65"/>
      <c r="F22" s="65"/>
      <c r="G22" s="65"/>
      <c r="H22" s="65"/>
      <c r="I22" s="63"/>
    </row>
    <row r="23" spans="1:9" ht="17.55" customHeight="1">
      <c r="A23" s="22" t="s">
        <v>174</v>
      </c>
      <c r="B23" s="23" t="s">
        <v>175</v>
      </c>
      <c r="C23" s="23" t="s">
        <v>176</v>
      </c>
      <c r="D23" s="23" t="s">
        <v>177</v>
      </c>
      <c r="E23" s="23" t="s">
        <v>178</v>
      </c>
      <c r="F23" s="23" t="s">
        <v>179</v>
      </c>
      <c r="G23" s="23" t="s">
        <v>180</v>
      </c>
      <c r="H23" s="23" t="s">
        <v>181</v>
      </c>
      <c r="I23" s="24" t="s">
        <v>182</v>
      </c>
    </row>
    <row r="24" spans="1:9" ht="27.6">
      <c r="A24" s="26" t="s">
        <v>107</v>
      </c>
      <c r="B24" s="20" t="s">
        <v>183</v>
      </c>
      <c r="C24" s="20" t="s">
        <v>184</v>
      </c>
      <c r="D24" s="18" t="s">
        <v>185</v>
      </c>
      <c r="E24" s="11">
        <v>6</v>
      </c>
      <c r="F24" s="18"/>
      <c r="G24" s="18"/>
      <c r="H24" s="11">
        <f t="shared" ref="H24:H37" si="0">IF(D24="Adottata e documentata",E24,IF(D24="Adottata parzialmente",ROUND(E24*0.5,0),0))</f>
        <v>3</v>
      </c>
      <c r="I24" s="29" t="s">
        <v>186</v>
      </c>
    </row>
    <row r="25" spans="1:9">
      <c r="A25" s="26" t="s">
        <v>107</v>
      </c>
      <c r="B25" s="20" t="s">
        <v>187</v>
      </c>
      <c r="C25" s="20" t="s">
        <v>188</v>
      </c>
      <c r="D25" s="18" t="s">
        <v>185</v>
      </c>
      <c r="E25" s="11">
        <v>6</v>
      </c>
      <c r="F25" s="18"/>
      <c r="G25" s="18"/>
      <c r="H25" s="11">
        <f t="shared" si="0"/>
        <v>3</v>
      </c>
      <c r="I25" s="29" t="s">
        <v>189</v>
      </c>
    </row>
    <row r="26" spans="1:9" ht="27.6">
      <c r="A26" s="26" t="s">
        <v>107</v>
      </c>
      <c r="B26" s="20" t="s">
        <v>190</v>
      </c>
      <c r="C26" s="20" t="s">
        <v>191</v>
      </c>
      <c r="D26" s="18" t="s">
        <v>192</v>
      </c>
      <c r="E26" s="11">
        <v>5</v>
      </c>
      <c r="F26" s="18"/>
      <c r="G26" s="18"/>
      <c r="H26" s="11">
        <f t="shared" si="0"/>
        <v>0</v>
      </c>
      <c r="I26" s="29" t="s">
        <v>193</v>
      </c>
    </row>
    <row r="27" spans="1:9">
      <c r="A27" s="26" t="s">
        <v>127</v>
      </c>
      <c r="B27" s="20" t="s">
        <v>194</v>
      </c>
      <c r="C27" s="20" t="s">
        <v>195</v>
      </c>
      <c r="D27" s="18" t="s">
        <v>196</v>
      </c>
      <c r="E27" s="11">
        <v>7</v>
      </c>
      <c r="F27" s="18"/>
      <c r="G27" s="18"/>
      <c r="H27" s="11">
        <f t="shared" si="0"/>
        <v>7</v>
      </c>
      <c r="I27" s="29" t="s">
        <v>197</v>
      </c>
    </row>
    <row r="28" spans="1:9">
      <c r="A28" s="26" t="s">
        <v>127</v>
      </c>
      <c r="B28" s="20" t="s">
        <v>198</v>
      </c>
      <c r="C28" s="20" t="s">
        <v>199</v>
      </c>
      <c r="D28" s="18" t="s">
        <v>185</v>
      </c>
      <c r="E28" s="11">
        <v>5</v>
      </c>
      <c r="F28" s="18"/>
      <c r="G28" s="18"/>
      <c r="H28" s="11">
        <f t="shared" si="0"/>
        <v>3</v>
      </c>
      <c r="I28" s="29" t="s">
        <v>200</v>
      </c>
    </row>
    <row r="29" spans="1:9" ht="27.6">
      <c r="A29" s="26" t="s">
        <v>146</v>
      </c>
      <c r="B29" s="20" t="s">
        <v>201</v>
      </c>
      <c r="C29" s="20" t="s">
        <v>202</v>
      </c>
      <c r="D29" s="18" t="s">
        <v>196</v>
      </c>
      <c r="E29" s="11">
        <v>6</v>
      </c>
      <c r="F29" s="18"/>
      <c r="G29" s="18"/>
      <c r="H29" s="11">
        <f t="shared" si="0"/>
        <v>6</v>
      </c>
      <c r="I29" s="29" t="s">
        <v>203</v>
      </c>
    </row>
    <row r="30" spans="1:9" ht="27.6">
      <c r="A30" s="26" t="s">
        <v>146</v>
      </c>
      <c r="B30" s="20" t="s">
        <v>204</v>
      </c>
      <c r="C30" s="20" t="s">
        <v>205</v>
      </c>
      <c r="D30" s="18" t="s">
        <v>192</v>
      </c>
      <c r="E30" s="11">
        <v>5</v>
      </c>
      <c r="F30" s="18"/>
      <c r="G30" s="18"/>
      <c r="H30" s="11">
        <f t="shared" si="0"/>
        <v>0</v>
      </c>
      <c r="I30" s="29" t="s">
        <v>206</v>
      </c>
    </row>
    <row r="31" spans="1:9" ht="27.6">
      <c r="A31" s="26" t="s">
        <v>114</v>
      </c>
      <c r="B31" s="20" t="s">
        <v>207</v>
      </c>
      <c r="C31" s="20" t="s">
        <v>208</v>
      </c>
      <c r="D31" s="18" t="s">
        <v>185</v>
      </c>
      <c r="E31" s="11">
        <v>6</v>
      </c>
      <c r="F31" s="18"/>
      <c r="G31" s="18"/>
      <c r="H31" s="11">
        <f t="shared" si="0"/>
        <v>3</v>
      </c>
      <c r="I31" s="29" t="s">
        <v>209</v>
      </c>
    </row>
    <row r="32" spans="1:9" ht="27.6">
      <c r="A32" s="26" t="s">
        <v>114</v>
      </c>
      <c r="B32" s="20" t="s">
        <v>210</v>
      </c>
      <c r="C32" s="20" t="s">
        <v>211</v>
      </c>
      <c r="D32" s="18" t="s">
        <v>192</v>
      </c>
      <c r="E32" s="11">
        <v>5</v>
      </c>
      <c r="F32" s="18"/>
      <c r="G32" s="18"/>
      <c r="H32" s="11">
        <f t="shared" si="0"/>
        <v>0</v>
      </c>
      <c r="I32" s="29" t="s">
        <v>212</v>
      </c>
    </row>
    <row r="33" spans="1:9">
      <c r="A33" s="26" t="s">
        <v>142</v>
      </c>
      <c r="B33" s="20" t="s">
        <v>213</v>
      </c>
      <c r="C33" s="20" t="s">
        <v>214</v>
      </c>
      <c r="D33" s="18" t="s">
        <v>192</v>
      </c>
      <c r="E33" s="11">
        <v>5</v>
      </c>
      <c r="F33" s="18"/>
      <c r="G33" s="18"/>
      <c r="H33" s="11">
        <f t="shared" si="0"/>
        <v>0</v>
      </c>
      <c r="I33" s="29" t="s">
        <v>215</v>
      </c>
    </row>
    <row r="34" spans="1:9" ht="27.6">
      <c r="A34" s="26" t="s">
        <v>216</v>
      </c>
      <c r="B34" s="20" t="s">
        <v>217</v>
      </c>
      <c r="C34" s="20" t="s">
        <v>218</v>
      </c>
      <c r="D34" s="18" t="s">
        <v>185</v>
      </c>
      <c r="E34" s="11">
        <v>7</v>
      </c>
      <c r="F34" s="18"/>
      <c r="G34" s="18"/>
      <c r="H34" s="11">
        <f t="shared" si="0"/>
        <v>4</v>
      </c>
      <c r="I34" s="29" t="s">
        <v>219</v>
      </c>
    </row>
    <row r="35" spans="1:9">
      <c r="A35" s="26" t="s">
        <v>220</v>
      </c>
      <c r="B35" s="20" t="s">
        <v>221</v>
      </c>
      <c r="C35" s="20" t="s">
        <v>222</v>
      </c>
      <c r="D35" s="18" t="s">
        <v>192</v>
      </c>
      <c r="E35" s="11">
        <v>4</v>
      </c>
      <c r="F35" s="18"/>
      <c r="G35" s="18"/>
      <c r="H35" s="11">
        <f t="shared" si="0"/>
        <v>0</v>
      </c>
      <c r="I35" s="29" t="s">
        <v>223</v>
      </c>
    </row>
    <row r="36" spans="1:9">
      <c r="A36" s="26" t="s">
        <v>224</v>
      </c>
      <c r="B36" s="20" t="s">
        <v>225</v>
      </c>
      <c r="C36" s="20" t="s">
        <v>226</v>
      </c>
      <c r="D36" s="18" t="s">
        <v>192</v>
      </c>
      <c r="E36" s="11">
        <v>4</v>
      </c>
      <c r="F36" s="18"/>
      <c r="G36" s="18"/>
      <c r="H36" s="11">
        <f t="shared" si="0"/>
        <v>0</v>
      </c>
      <c r="I36" s="29" t="s">
        <v>227</v>
      </c>
    </row>
    <row r="37" spans="1:9" ht="27.6">
      <c r="A37" s="27" t="s">
        <v>228</v>
      </c>
      <c r="B37" s="28" t="s">
        <v>229</v>
      </c>
      <c r="C37" s="28" t="s">
        <v>230</v>
      </c>
      <c r="D37" s="25" t="s">
        <v>185</v>
      </c>
      <c r="E37" s="33">
        <v>5</v>
      </c>
      <c r="F37" s="25"/>
      <c r="G37" s="25"/>
      <c r="H37" s="33">
        <f t="shared" si="0"/>
        <v>3</v>
      </c>
      <c r="I37" s="30" t="s">
        <v>231</v>
      </c>
    </row>
    <row r="38" spans="1:9">
      <c r="A38" s="65"/>
      <c r="B38" s="65"/>
      <c r="C38" s="65"/>
      <c r="D38" s="65"/>
      <c r="E38" s="65"/>
      <c r="F38" s="65"/>
      <c r="G38" s="65"/>
      <c r="H38" s="65"/>
      <c r="I38" s="65"/>
    </row>
    <row r="39" spans="1:9">
      <c r="A39" s="65"/>
      <c r="B39" s="65"/>
      <c r="C39" s="65"/>
      <c r="D39" s="65"/>
      <c r="E39" s="65"/>
      <c r="F39" s="65"/>
      <c r="G39" s="65"/>
      <c r="H39" s="65"/>
      <c r="I39" s="65"/>
    </row>
    <row r="40" spans="1:9">
      <c r="A40" s="65"/>
      <c r="B40" s="65"/>
      <c r="C40" s="65"/>
      <c r="D40" s="65"/>
      <c r="E40" s="65"/>
      <c r="F40" s="65"/>
      <c r="G40" s="65"/>
      <c r="H40" s="65"/>
      <c r="I40" s="65"/>
    </row>
    <row r="41" spans="1:9" ht="17.55" customHeight="1">
      <c r="A41" s="31" t="s">
        <v>232</v>
      </c>
      <c r="B41" s="31" t="s">
        <v>233</v>
      </c>
      <c r="C41" s="31" t="s">
        <v>234</v>
      </c>
      <c r="D41" s="65"/>
      <c r="E41" s="65"/>
      <c r="F41" s="65"/>
      <c r="G41" s="65"/>
      <c r="H41" s="65"/>
      <c r="I41" s="65"/>
    </row>
    <row r="42" spans="1:9" ht="27.6">
      <c r="A42" s="20" t="s">
        <v>236</v>
      </c>
      <c r="B42" s="18" t="s">
        <v>237</v>
      </c>
      <c r="C42" s="20" t="s">
        <v>238</v>
      </c>
      <c r="D42" s="65"/>
      <c r="E42" s="65"/>
      <c r="F42" s="65"/>
      <c r="G42" s="65"/>
      <c r="H42" s="65"/>
      <c r="I42" s="65"/>
    </row>
    <row r="43" spans="1:9" ht="27.6">
      <c r="A43" s="20" t="s">
        <v>239</v>
      </c>
      <c r="B43" s="18" t="s">
        <v>237</v>
      </c>
      <c r="C43" s="20" t="s">
        <v>240</v>
      </c>
      <c r="D43" s="65"/>
      <c r="E43" s="65"/>
      <c r="F43" s="65"/>
      <c r="G43" s="65"/>
      <c r="H43" s="65"/>
      <c r="I43" s="65"/>
    </row>
    <row r="44" spans="1:9" ht="27.6">
      <c r="A44" s="20" t="s">
        <v>241</v>
      </c>
      <c r="B44" s="18" t="s">
        <v>237</v>
      </c>
      <c r="C44" s="20" t="s">
        <v>242</v>
      </c>
      <c r="D44" s="65"/>
      <c r="E44" s="65"/>
      <c r="F44" s="65"/>
      <c r="G44" s="65"/>
      <c r="H44" s="65"/>
      <c r="I44" s="65"/>
    </row>
    <row r="45" spans="1:9" ht="27.6">
      <c r="A45" s="20" t="s">
        <v>243</v>
      </c>
      <c r="B45" s="18" t="s">
        <v>237</v>
      </c>
      <c r="C45" s="20" t="s">
        <v>244</v>
      </c>
      <c r="D45" s="65"/>
      <c r="E45" s="65"/>
      <c r="F45" s="65"/>
      <c r="G45" s="65"/>
      <c r="H45" s="65"/>
      <c r="I45" s="65"/>
    </row>
    <row r="46" spans="1:9" ht="27.6">
      <c r="A46" s="20" t="s">
        <v>245</v>
      </c>
      <c r="B46" s="18" t="s">
        <v>237</v>
      </c>
      <c r="C46" s="20" t="s">
        <v>246</v>
      </c>
      <c r="D46" s="65"/>
      <c r="E46" s="65"/>
      <c r="F46" s="65"/>
      <c r="G46" s="65"/>
      <c r="H46" s="65"/>
      <c r="I46" s="65"/>
    </row>
    <row r="47" spans="1:9" ht="27.6">
      <c r="A47" s="20" t="s">
        <v>247</v>
      </c>
      <c r="B47" s="18" t="s">
        <v>237</v>
      </c>
      <c r="C47" s="20" t="s">
        <v>248</v>
      </c>
      <c r="D47" s="65"/>
      <c r="E47" s="65"/>
      <c r="F47" s="65"/>
      <c r="G47" s="65"/>
      <c r="H47" s="65"/>
      <c r="I47" s="65"/>
    </row>
    <row r="48" spans="1:9">
      <c r="A48" s="20" t="s">
        <v>249</v>
      </c>
      <c r="B48" s="18" t="s">
        <v>237</v>
      </c>
      <c r="C48" s="20" t="s">
        <v>250</v>
      </c>
      <c r="D48" s="65"/>
      <c r="E48" s="65"/>
      <c r="F48" s="65"/>
      <c r="G48" s="65"/>
      <c r="H48" s="65"/>
      <c r="I48" s="65"/>
    </row>
    <row r="49" spans="1:9">
      <c r="D49" s="65"/>
      <c r="E49" s="65"/>
      <c r="F49" s="65"/>
      <c r="G49" s="65"/>
      <c r="H49" s="65"/>
      <c r="I49" s="65"/>
    </row>
    <row r="50" spans="1:9">
      <c r="A50" s="61" t="s">
        <v>235</v>
      </c>
      <c r="B50" s="62"/>
      <c r="C50" s="32">
        <f>COUNTIF(B42:B48,"Sì")</f>
        <v>0</v>
      </c>
      <c r="D50" s="65"/>
      <c r="E50" s="65"/>
      <c r="F50" s="65"/>
      <c r="G50" s="65"/>
      <c r="H50" s="65"/>
      <c r="I50" s="65"/>
    </row>
  </sheetData>
  <mergeCells count="13">
    <mergeCell ref="A50:B50"/>
    <mergeCell ref="I1:I22"/>
    <mergeCell ref="D13:H22"/>
    <mergeCell ref="A13:C14"/>
    <mergeCell ref="A20:C22"/>
    <mergeCell ref="A38:I40"/>
    <mergeCell ref="D41:I50"/>
    <mergeCell ref="A1:H1"/>
    <mergeCell ref="A3:H3"/>
    <mergeCell ref="A5:H5"/>
    <mergeCell ref="A6:H6"/>
    <mergeCell ref="A9:D12"/>
    <mergeCell ref="E9:H12"/>
  </mergeCells>
  <dataValidations count="3">
    <dataValidation type="list" sqref="A6" xr:uid="{00000000-0002-0000-0300-000000000000}">
      <formula1>"1,2,3,4,5"</formula1>
    </dataValidation>
    <dataValidation type="list" sqref="D24:D37" xr:uid="{00000000-0002-0000-0300-000001000000}">
      <formula1>"Adottata e documentata,Adottata parzialmente,Da attuare,Non applicabile,Non adottata"</formula1>
    </dataValidation>
    <dataValidation type="list" sqref="B42:B48" xr:uid="{00000000-0002-0000-0300-000002000000}">
      <formula1>"Sì,No"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7"/>
  <sheetViews>
    <sheetView workbookViewId="0">
      <selection activeCell="D6" sqref="D6"/>
    </sheetView>
  </sheetViews>
  <sheetFormatPr defaultColWidth="0" defaultRowHeight="13.8"/>
  <cols>
    <col min="1" max="1" width="32" customWidth="1"/>
    <col min="2" max="2" width="80" customWidth="1"/>
    <col min="3" max="3" width="56" customWidth="1"/>
    <col min="4" max="4" width="38" customWidth="1"/>
    <col min="5" max="8" width="18" hidden="1" customWidth="1"/>
    <col min="9" max="10" width="0" hidden="1" customWidth="1"/>
    <col min="11" max="16384" width="8.796875" hidden="1"/>
  </cols>
  <sheetData>
    <row r="1" spans="1:10" ht="27.15" customHeight="1">
      <c r="A1" s="48" t="s">
        <v>251</v>
      </c>
      <c r="B1" s="48"/>
      <c r="C1" s="48"/>
      <c r="D1" s="48"/>
      <c r="E1" s="48"/>
      <c r="F1" s="48"/>
      <c r="G1" s="48"/>
      <c r="H1" s="48"/>
      <c r="I1" s="2"/>
      <c r="J1" s="2"/>
    </row>
    <row r="3" spans="1:10">
      <c r="A3" s="49" t="s">
        <v>252</v>
      </c>
      <c r="B3" s="49"/>
      <c r="C3" s="49"/>
      <c r="D3" s="49"/>
      <c r="E3" s="49"/>
      <c r="F3" s="49"/>
      <c r="G3" s="49"/>
      <c r="H3" s="49"/>
    </row>
    <row r="5" spans="1:10" ht="17.55" customHeight="1">
      <c r="A5" s="19" t="s">
        <v>41</v>
      </c>
      <c r="B5" s="19" t="s">
        <v>253</v>
      </c>
      <c r="C5" s="19" t="s">
        <v>254</v>
      </c>
      <c r="D5" s="19" t="s">
        <v>224</v>
      </c>
    </row>
    <row r="6" spans="1:10" ht="27.6">
      <c r="A6" s="18" t="s">
        <v>255</v>
      </c>
      <c r="B6" s="34" t="s">
        <v>75</v>
      </c>
      <c r="C6" s="20" t="s">
        <v>256</v>
      </c>
      <c r="D6" s="18"/>
    </row>
    <row r="7" spans="1:10" ht="27.6">
      <c r="A7" s="18" t="s">
        <v>257</v>
      </c>
      <c r="B7" s="35">
        <v>2024</v>
      </c>
      <c r="C7" s="20" t="s">
        <v>258</v>
      </c>
      <c r="D7" s="18"/>
    </row>
    <row r="8" spans="1:10" ht="27.6">
      <c r="A8" s="18" t="s">
        <v>259</v>
      </c>
      <c r="B8" s="34" t="s">
        <v>260</v>
      </c>
      <c r="C8" s="20" t="s">
        <v>261</v>
      </c>
      <c r="D8" s="18"/>
    </row>
    <row r="9" spans="1:10" ht="27.6">
      <c r="A9" s="18" t="s">
        <v>262</v>
      </c>
      <c r="B9" s="36">
        <v>1.7</v>
      </c>
      <c r="C9" s="20" t="s">
        <v>263</v>
      </c>
      <c r="D9" s="18"/>
    </row>
    <row r="10" spans="1:10">
      <c r="A10" s="18" t="s">
        <v>264</v>
      </c>
      <c r="B10" s="36">
        <v>1.7</v>
      </c>
      <c r="C10" s="20" t="s">
        <v>265</v>
      </c>
      <c r="D10" s="18"/>
    </row>
    <row r="11" spans="1:10" ht="27.6">
      <c r="A11" s="18" t="s">
        <v>266</v>
      </c>
      <c r="B11" s="36">
        <v>135</v>
      </c>
      <c r="C11" s="20" t="s">
        <v>267</v>
      </c>
      <c r="D11" s="18"/>
    </row>
    <row r="12" spans="1:10">
      <c r="A12" s="18" t="s">
        <v>268</v>
      </c>
      <c r="B12" s="36">
        <v>135</v>
      </c>
      <c r="C12" s="20" t="s">
        <v>265</v>
      </c>
      <c r="D12" s="18"/>
    </row>
    <row r="13" spans="1:10">
      <c r="A13" s="18" t="s">
        <v>269</v>
      </c>
      <c r="B13" s="34" t="s">
        <v>270</v>
      </c>
      <c r="C13" s="20" t="s">
        <v>271</v>
      </c>
      <c r="D13" s="18"/>
    </row>
    <row r="16" spans="1:10" ht="17.55" customHeight="1">
      <c r="A16" s="37" t="s">
        <v>272</v>
      </c>
      <c r="B16" s="37" t="s">
        <v>42</v>
      </c>
      <c r="C16" s="37" t="s">
        <v>273</v>
      </c>
      <c r="D16" s="37" t="s">
        <v>182</v>
      </c>
    </row>
    <row r="17" spans="1:8">
      <c r="A17" s="18" t="s">
        <v>274</v>
      </c>
      <c r="B17" s="38">
        <f>IF($B$6="Sì",IFERROR(MIN(100,MAX(0,$B$9/$B$10*50)),0),50)</f>
        <v>50</v>
      </c>
      <c r="C17" s="18" t="s">
        <v>275</v>
      </c>
      <c r="D17" s="18" t="s">
        <v>276</v>
      </c>
    </row>
    <row r="18" spans="1:8">
      <c r="A18" s="18" t="s">
        <v>277</v>
      </c>
      <c r="B18" s="38">
        <f>IF($B$6="Sì",IFERROR(MIN(100,MAX(0,$B$11/$B$12*50)),0),50)</f>
        <v>50</v>
      </c>
      <c r="C18" s="18" t="s">
        <v>275</v>
      </c>
      <c r="D18" s="18" t="s">
        <v>278</v>
      </c>
    </row>
    <row r="19" spans="1:8">
      <c r="A19" s="18" t="s">
        <v>279</v>
      </c>
      <c r="B19" s="38">
        <f>IF($B$6="Sì",ROUND(0.65*B17+0.35*B18,1),50)</f>
        <v>50</v>
      </c>
      <c r="C19" s="18" t="s">
        <v>280</v>
      </c>
      <c r="D19" s="18" t="s">
        <v>281</v>
      </c>
    </row>
    <row r="20" spans="1:8">
      <c r="A20" s="18" t="s">
        <v>5</v>
      </c>
      <c r="B20" s="38">
        <f>IF($B$6="Sì",IF(OR($B$9="",$B$10="",$B$11="",$B$12=""),1,ROUND(MAX(0.95,MIN(1.35,1+((B19-50)/100))),3)),1)</f>
        <v>1</v>
      </c>
      <c r="C20" s="18" t="s">
        <v>282</v>
      </c>
      <c r="D20" s="18" t="s">
        <v>283</v>
      </c>
    </row>
    <row r="21" spans="1:8">
      <c r="A21" s="18" t="s">
        <v>284</v>
      </c>
      <c r="B21" s="38">
        <f>ROUND(Esito!$B$6-DVR_Misure!$B$17,0)</f>
        <v>0</v>
      </c>
      <c r="C21" s="18" t="s">
        <v>285</v>
      </c>
      <c r="D21" s="18" t="s">
        <v>286</v>
      </c>
    </row>
    <row r="23" spans="1:8" ht="17.55" customHeight="1">
      <c r="A23" s="39" t="s">
        <v>287</v>
      </c>
      <c r="B23" s="39"/>
      <c r="C23" s="39"/>
      <c r="D23" s="39"/>
    </row>
    <row r="24" spans="1:8">
      <c r="A24" s="18"/>
      <c r="B24" s="18" t="str">
        <f>IF($B$6&lt;&gt;"Sì","Correttivo non applicato: il coefficiente resta 1,000.",IF($B$7&gt;2024,"Anno superiore all'ultimo riferimento locale 2024: verificare sul portale ISTAT se il dato annuale è disponibile e documentare la fonte.",IF(OR($B$9="",$B$10="",$B$11="",$B$12=""),"Compilare tutti i valori ISTAT manuali prima di usare il coefficiente.","Correttivo ISTAT applicato con inserimento manuale.")))</f>
        <v>Correttivo ISTAT applicato con inserimento manuale.</v>
      </c>
      <c r="C24" s="18"/>
      <c r="D24" s="18"/>
    </row>
    <row r="25" spans="1:8" ht="41.55" customHeight="1">
      <c r="A25" s="18" t="s">
        <v>288</v>
      </c>
      <c r="B25" s="10" t="s">
        <v>32</v>
      </c>
      <c r="C25" s="56" t="s">
        <v>289</v>
      </c>
      <c r="D25" s="56"/>
    </row>
    <row r="26" spans="1:8" ht="41.55" customHeight="1">
      <c r="A26" s="18" t="s">
        <v>290</v>
      </c>
      <c r="B26" s="10" t="s">
        <v>32</v>
      </c>
      <c r="C26" s="56" t="s">
        <v>291</v>
      </c>
      <c r="D26" s="56"/>
    </row>
    <row r="27" spans="1:8" ht="41.55" customHeight="1">
      <c r="A27" s="18" t="s">
        <v>292</v>
      </c>
      <c r="B27" s="10" t="s">
        <v>37</v>
      </c>
      <c r="C27" s="56" t="s">
        <v>293</v>
      </c>
      <c r="D27" s="56"/>
    </row>
    <row r="30" spans="1:8" ht="19.2" customHeight="1">
      <c r="A30" s="55" t="s">
        <v>294</v>
      </c>
      <c r="B30" s="55"/>
      <c r="C30" s="55"/>
      <c r="D30" s="55"/>
      <c r="E30" s="55"/>
      <c r="F30" s="55"/>
      <c r="G30" s="55"/>
      <c r="H30" s="55"/>
    </row>
    <row r="31" spans="1:8">
      <c r="A31" s="40" t="s">
        <v>7</v>
      </c>
      <c r="B31" s="56" t="s">
        <v>295</v>
      </c>
      <c r="C31" s="56"/>
      <c r="D31" s="56"/>
      <c r="E31" s="18"/>
      <c r="F31" s="18"/>
      <c r="G31" s="18"/>
      <c r="H31" s="18"/>
    </row>
    <row r="32" spans="1:8">
      <c r="A32" s="40" t="s">
        <v>12</v>
      </c>
      <c r="B32" s="56" t="s">
        <v>296</v>
      </c>
      <c r="C32" s="56"/>
      <c r="D32" s="56"/>
      <c r="E32" s="18"/>
      <c r="F32" s="18"/>
      <c r="G32" s="18"/>
      <c r="H32" s="18"/>
    </row>
    <row r="33" spans="1:8">
      <c r="A33" s="40" t="s">
        <v>15</v>
      </c>
      <c r="B33" s="56" t="s">
        <v>297</v>
      </c>
      <c r="C33" s="56"/>
      <c r="D33" s="56"/>
      <c r="E33" s="18"/>
      <c r="F33" s="18"/>
      <c r="G33" s="18"/>
      <c r="H33" s="18"/>
    </row>
    <row r="34" spans="1:8">
      <c r="A34" s="40" t="s">
        <v>20</v>
      </c>
      <c r="B34" s="56" t="s">
        <v>298</v>
      </c>
      <c r="C34" s="56"/>
      <c r="D34" s="56"/>
      <c r="E34" s="18"/>
      <c r="F34" s="18"/>
      <c r="G34" s="18"/>
      <c r="H34" s="18"/>
    </row>
    <row r="35" spans="1:8">
      <c r="A35" s="40" t="s">
        <v>23</v>
      </c>
      <c r="B35" s="56" t="s">
        <v>299</v>
      </c>
      <c r="C35" s="56"/>
      <c r="D35" s="56"/>
      <c r="E35" s="18"/>
      <c r="F35" s="18"/>
      <c r="G35" s="18"/>
      <c r="H35" s="18"/>
    </row>
    <row r="36" spans="1:8">
      <c r="A36" s="40" t="s">
        <v>27</v>
      </c>
      <c r="B36" s="56" t="s">
        <v>300</v>
      </c>
      <c r="C36" s="56"/>
      <c r="D36" s="56"/>
      <c r="E36" s="18"/>
      <c r="F36" s="18"/>
      <c r="G36" s="18"/>
      <c r="H36" s="18"/>
    </row>
    <row r="37" spans="1:8">
      <c r="A37" s="40" t="s">
        <v>301</v>
      </c>
      <c r="B37" s="56" t="s">
        <v>302</v>
      </c>
      <c r="C37" s="56"/>
      <c r="D37" s="56"/>
      <c r="E37" s="18"/>
      <c r="F37" s="18"/>
      <c r="G37" s="18"/>
      <c r="H37" s="18"/>
    </row>
  </sheetData>
  <mergeCells count="13">
    <mergeCell ref="A1:H1"/>
    <mergeCell ref="A3:H3"/>
    <mergeCell ref="A30:H30"/>
    <mergeCell ref="C25:D25"/>
    <mergeCell ref="C26:D26"/>
    <mergeCell ref="C27:D27"/>
    <mergeCell ref="B36:D36"/>
    <mergeCell ref="B37:D37"/>
    <mergeCell ref="B31:D31"/>
    <mergeCell ref="B32:D32"/>
    <mergeCell ref="B33:D33"/>
    <mergeCell ref="B34:D34"/>
    <mergeCell ref="B35:D35"/>
  </mergeCells>
  <dataValidations count="1">
    <dataValidation type="list" sqref="B6" xr:uid="{00000000-0002-0000-0400-000000000000}">
      <formula1>"Sì,No"</formula1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7"/>
  <sheetViews>
    <sheetView showGridLines="0" workbookViewId="0">
      <selection sqref="A1:H16"/>
    </sheetView>
  </sheetViews>
  <sheetFormatPr defaultColWidth="0" defaultRowHeight="13.8" zeroHeight="1"/>
  <cols>
    <col min="1" max="1" width="51.09765625" customWidth="1"/>
    <col min="2" max="2" width="50" customWidth="1"/>
    <col min="3" max="3" width="26" customWidth="1"/>
    <col min="4" max="6" width="20" customWidth="1"/>
    <col min="7" max="7" width="18" customWidth="1"/>
    <col min="8" max="8" width="20" customWidth="1"/>
    <col min="9" max="9" width="1.8984375" customWidth="1"/>
    <col min="10" max="11" width="0" hidden="1" customWidth="1"/>
    <col min="12" max="16384" width="8.796875" hidden="1"/>
  </cols>
  <sheetData>
    <row r="1" spans="1:11" ht="27.15" customHeight="1">
      <c r="A1" s="48" t="s">
        <v>303</v>
      </c>
      <c r="B1" s="48"/>
      <c r="C1" s="48"/>
      <c r="D1" s="48"/>
      <c r="E1" s="48"/>
      <c r="F1" s="48"/>
      <c r="G1" s="48"/>
      <c r="H1" s="48"/>
      <c r="I1" s="2"/>
      <c r="J1" s="2"/>
      <c r="K1" s="2"/>
    </row>
    <row r="2" spans="1:11"/>
    <row r="3" spans="1:11">
      <c r="A3" s="49" t="s">
        <v>304</v>
      </c>
      <c r="B3" s="49"/>
      <c r="C3" s="49"/>
      <c r="D3" s="49"/>
      <c r="E3" s="49"/>
      <c r="F3" s="49"/>
      <c r="G3" s="49"/>
      <c r="H3" s="49"/>
    </row>
    <row r="4" spans="1:11"/>
    <row r="5" spans="1:11" ht="17.55" customHeight="1">
      <c r="A5" s="37" t="s">
        <v>2</v>
      </c>
      <c r="B5" s="37" t="s">
        <v>3</v>
      </c>
      <c r="C5" s="37" t="s">
        <v>4</v>
      </c>
      <c r="D5" s="37" t="s">
        <v>305</v>
      </c>
      <c r="E5" s="37" t="s">
        <v>306</v>
      </c>
      <c r="F5" s="37" t="s">
        <v>5</v>
      </c>
      <c r="G5" s="37" t="s">
        <v>307</v>
      </c>
      <c r="H5" s="37" t="s">
        <v>19</v>
      </c>
    </row>
    <row r="6" spans="1:11" ht="31.95" customHeight="1">
      <c r="A6" s="41">
        <f>ROUND(MIN(100,Questionario!$B$25*ISTAT!$B$20),0)</f>
        <v>55</v>
      </c>
      <c r="B6" s="41">
        <f>ROUND(MIN(100,DVR_Misure!$B$17*ISTAT!$B$20),0)</f>
        <v>30</v>
      </c>
      <c r="C6" s="41" t="str">
        <f>IF(DVR_Misure!$C$50&gt;0,"Non autorizzabile",IF(B6&gt;=70,"Da modificare/sospendere",IF(B6&gt;=50,"Autorizzabile con misure aggiuntive",IF(B6&gt;=25,"Autorizzabile con misure","Autorizzabile"))))</f>
        <v>Autorizzabile con misure</v>
      </c>
      <c r="D6" s="41">
        <f>Questionario!$B$25</f>
        <v>55</v>
      </c>
      <c r="E6" s="41">
        <f>DVR_Misure!$B$17</f>
        <v>30</v>
      </c>
      <c r="F6" s="41">
        <f>ISTAT!$B$20</f>
        <v>1</v>
      </c>
      <c r="G6" s="41">
        <f>ROUND(B6-E6,0)</f>
        <v>0</v>
      </c>
      <c r="H6" s="41">
        <f>DVR_Misure!$C$50</f>
        <v>0</v>
      </c>
    </row>
    <row r="7" spans="1:11">
      <c r="A7" s="42" t="str">
        <f>IF(A6&gt;=70,"Critico",IF(A6&gt;=50,"Alto",IF(A6&gt;=25,"Moderato","Basso")))</f>
        <v>Alto</v>
      </c>
      <c r="B7" s="42" t="str">
        <f>IF(B6&gt;=70,"Critico",IF(B6&gt;=50,"Alto",IF(B6&gt;=25,"Moderato","Basso")))</f>
        <v>Moderato</v>
      </c>
      <c r="C7" s="42" t="str">
        <f>""</f>
        <v/>
      </c>
      <c r="D7" s="42" t="str">
        <f>""</f>
        <v/>
      </c>
      <c r="E7" s="42" t="str">
        <f>""</f>
        <v/>
      </c>
      <c r="F7" s="42" t="str">
        <f>""</f>
        <v/>
      </c>
      <c r="G7" s="42" t="str">
        <f>""</f>
        <v/>
      </c>
      <c r="H7" s="42" t="str">
        <f>IF(H6&gt;0,"Verificare prima dell'autorizzazione","Nessuna bloccante")</f>
        <v>Nessuna bloccante</v>
      </c>
    </row>
    <row r="8" spans="1:11"/>
    <row r="9" spans="1:11"/>
    <row r="10" spans="1:11" ht="57" customHeight="1">
      <c r="A10" s="4" t="s">
        <v>308</v>
      </c>
      <c r="B10" s="67" t="s">
        <v>308</v>
      </c>
      <c r="C10" s="67"/>
      <c r="D10" s="67"/>
      <c r="E10" s="67"/>
      <c r="F10" s="67"/>
      <c r="G10" s="67"/>
      <c r="H10" s="67"/>
    </row>
    <row r="11" spans="1:11" ht="17.55" customHeight="1">
      <c r="A11" s="19" t="s">
        <v>41</v>
      </c>
      <c r="B11" s="71" t="s">
        <v>309</v>
      </c>
      <c r="C11" s="71"/>
      <c r="D11" s="71"/>
      <c r="E11" s="71"/>
      <c r="F11" s="71"/>
      <c r="G11" s="71"/>
      <c r="H11" s="71"/>
    </row>
    <row r="12" spans="1:11">
      <c r="A12" s="7" t="s">
        <v>310</v>
      </c>
      <c r="B12" s="56" t="str">
        <f>INDEX(Questionario!$B$6:$B$23,MATCH(MAX(Questionario!$F$6:$F$23),Questionario!$F$6:$F$23,0))</f>
        <v>Frequenza e chilometri di guida</v>
      </c>
      <c r="C12" s="56"/>
      <c r="D12" s="56"/>
      <c r="E12" s="56"/>
      <c r="F12" s="56"/>
      <c r="G12" s="56"/>
      <c r="H12" s="56"/>
    </row>
    <row r="13" spans="1:11">
      <c r="A13" s="7" t="s">
        <v>311</v>
      </c>
      <c r="B13" s="56" t="str">
        <f>INDEX(Questionario!$B$6:$B$23,MATCH(LARGE(Questionario!$F$6:$F$23,2),Questionario!$F$6:$F$23,0))</f>
        <v>Frequenza e chilometri di guida</v>
      </c>
      <c r="C13" s="56"/>
      <c r="D13" s="56"/>
      <c r="E13" s="56"/>
      <c r="F13" s="56"/>
      <c r="G13" s="56"/>
      <c r="H13" s="56"/>
    </row>
    <row r="14" spans="1:11">
      <c r="A14" s="7" t="s">
        <v>312</v>
      </c>
      <c r="B14" s="56" t="str">
        <f>IFERROR(INDEX(DVR_Misure!$B$24:$B$37,MATCH("Da attuare",DVR_Misure!$D$24:$D$37,0)),"Nessuna misura da attuare indicata")</f>
        <v>Valutare alternative allo spostamento</v>
      </c>
      <c r="C14" s="56"/>
      <c r="D14" s="56"/>
      <c r="E14" s="56"/>
      <c r="F14" s="56"/>
      <c r="G14" s="56"/>
      <c r="H14" s="56"/>
    </row>
    <row r="15" spans="1:11">
      <c r="A15" s="7" t="s">
        <v>313</v>
      </c>
      <c r="B15" s="56" t="str">
        <f>IF($H$6&gt;0,"Sono presenti criticità bloccanti: risolvere prima di autorizzare.",IF($B$6&gt;=70,"Rischio residuo molto elevato: modificare missione o sospendere fino a nuove misure.",IF($B$6&gt;=50,"Rischio alto: autorizzazione solo con misure aggiuntive e responsabilità assegnate.",IF($B$6&gt;=25,"Rischio moderato: autorizzabile con misure ordinarie documentate.","Rischio contenuto: mantenere controlli ordinari."))))</f>
        <v>Rischio moderato: autorizzabile con misure ordinarie documentate.</v>
      </c>
      <c r="C15" s="56"/>
      <c r="D15" s="56"/>
      <c r="E15" s="56"/>
      <c r="F15" s="56"/>
      <c r="G15" s="56"/>
      <c r="H15" s="56"/>
    </row>
    <row r="16" spans="1:11">
      <c r="A16" s="7" t="s">
        <v>314</v>
      </c>
      <c r="B16" s="56" t="str">
        <f>IF($H$6&gt;0,"Chiudere le criticità bloccanti e rivalutare.",IF($B$6&gt;=70,"Ridurre esposizione, rivedere orari, valutare alternativa al viaggio, aggiornare DVR.",IF($B$6&gt;=50,"Applicare misure aggiuntive su tempi, pause, veicolo e formazione.",IF($B$6&gt;=25,"Confermare misure e monitorare near miss.","Archiviare e riesaminare periodicamente."))))</f>
        <v>Confermare misure e monitorare near miss.</v>
      </c>
      <c r="C16" s="56"/>
      <c r="D16" s="56"/>
      <c r="E16" s="56"/>
      <c r="F16" s="56"/>
      <c r="G16" s="56"/>
      <c r="H16" s="56"/>
    </row>
    <row r="17"/>
  </sheetData>
  <mergeCells count="9">
    <mergeCell ref="B13:H13"/>
    <mergeCell ref="B14:H14"/>
    <mergeCell ref="B15:H15"/>
    <mergeCell ref="B16:H16"/>
    <mergeCell ref="A1:H1"/>
    <mergeCell ref="A3:H3"/>
    <mergeCell ref="B11:H11"/>
    <mergeCell ref="B10:H10"/>
    <mergeCell ref="B12:H12"/>
  </mergeCells>
  <conditionalFormatting sqref="A6:B6">
    <cfRule type="expression" dxfId="7" priority="1">
      <formula>A6&gt;=70</formula>
    </cfRule>
    <cfRule type="expression" dxfId="6" priority="2">
      <formula>AND(A6&gt;=50,A6&lt;70)</formula>
    </cfRule>
    <cfRule type="expression" dxfId="5" priority="3">
      <formula>AND(A6&gt;=25,A6&lt;50)</formula>
    </cfRule>
    <cfRule type="expression" dxfId="4" priority="4">
      <formula>A6&lt;25</formula>
    </cfRule>
  </conditionalFormatting>
  <conditionalFormatting sqref="D6:E6">
    <cfRule type="expression" dxfId="3" priority="9">
      <formula>D6&gt;=70</formula>
    </cfRule>
    <cfRule type="expression" dxfId="2" priority="10">
      <formula>AND(D6&gt;=50,D6&lt;70)</formula>
    </cfRule>
    <cfRule type="expression" dxfId="1" priority="11">
      <formula>AND(D6&gt;=25,D6&lt;50)</formula>
    </cfRule>
    <cfRule type="expression" dxfId="0" priority="12">
      <formula>D6&lt;25</formula>
    </cfRule>
  </conditionalFormatting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8"/>
  <sheetViews>
    <sheetView showGridLines="0" workbookViewId="0">
      <selection activeCell="A19" sqref="A19:XFD1048576"/>
    </sheetView>
  </sheetViews>
  <sheetFormatPr defaultColWidth="0" defaultRowHeight="13.8" zeroHeight="1"/>
  <cols>
    <col min="1" max="1" width="22" customWidth="1"/>
    <col min="2" max="2" width="44" customWidth="1"/>
    <col min="3" max="3" width="34" customWidth="1"/>
    <col min="4" max="4" width="22" customWidth="1"/>
    <col min="5" max="5" width="16" customWidth="1"/>
    <col min="6" max="6" width="18" customWidth="1"/>
    <col min="7" max="7" width="26" customWidth="1"/>
    <col min="8" max="8" width="30" customWidth="1"/>
    <col min="9" max="9" width="3.19921875" customWidth="1"/>
    <col min="10" max="11" width="0" hidden="1" customWidth="1"/>
    <col min="12" max="16384" width="8.796875" hidden="1"/>
  </cols>
  <sheetData>
    <row r="1" spans="1:11" ht="27.15" customHeight="1">
      <c r="A1" s="59" t="s">
        <v>315</v>
      </c>
      <c r="B1" s="59"/>
      <c r="C1" s="59"/>
      <c r="D1" s="59"/>
      <c r="E1" s="59"/>
      <c r="F1" s="59"/>
      <c r="G1" s="59"/>
      <c r="H1" s="59"/>
      <c r="I1" s="2"/>
      <c r="J1" s="2"/>
      <c r="K1" s="2"/>
    </row>
    <row r="2" spans="1:11">
      <c r="A2" s="18"/>
      <c r="B2" s="18"/>
      <c r="C2" s="18"/>
      <c r="D2" s="18"/>
      <c r="E2" s="18"/>
      <c r="F2" s="18"/>
      <c r="G2" s="18"/>
      <c r="H2" s="18"/>
    </row>
    <row r="3" spans="1:11">
      <c r="A3" s="72" t="s">
        <v>316</v>
      </c>
      <c r="B3" s="72"/>
      <c r="C3" s="72"/>
      <c r="D3" s="72"/>
      <c r="E3" s="72"/>
      <c r="F3" s="72"/>
      <c r="G3" s="72"/>
      <c r="H3" s="72"/>
    </row>
    <row r="4" spans="1:11">
      <c r="A4" s="18"/>
      <c r="B4" s="18"/>
      <c r="C4" s="18"/>
      <c r="D4" s="18"/>
      <c r="E4" s="18"/>
      <c r="F4" s="18"/>
      <c r="G4" s="18"/>
      <c r="H4" s="18"/>
    </row>
    <row r="5" spans="1:11" ht="17.55" customHeight="1">
      <c r="A5" s="19" t="s">
        <v>317</v>
      </c>
      <c r="B5" s="19" t="s">
        <v>318</v>
      </c>
      <c r="C5" s="19" t="s">
        <v>319</v>
      </c>
      <c r="D5" s="19" t="s">
        <v>320</v>
      </c>
      <c r="E5" s="19" t="s">
        <v>180</v>
      </c>
      <c r="F5" s="19" t="s">
        <v>177</v>
      </c>
      <c r="G5" s="19" t="s">
        <v>321</v>
      </c>
      <c r="H5" s="19" t="s">
        <v>322</v>
      </c>
    </row>
    <row r="6" spans="1:11">
      <c r="A6" s="18" t="s">
        <v>323</v>
      </c>
      <c r="B6" s="18" t="s">
        <v>324</v>
      </c>
      <c r="C6" s="18" t="s">
        <v>325</v>
      </c>
      <c r="D6" s="18"/>
      <c r="E6" s="18"/>
      <c r="F6" s="18" t="s">
        <v>326</v>
      </c>
      <c r="G6" s="18"/>
      <c r="H6" s="18"/>
    </row>
    <row r="7" spans="1:11">
      <c r="A7" s="18" t="s">
        <v>327</v>
      </c>
      <c r="B7" s="18" t="s">
        <v>328</v>
      </c>
      <c r="C7" s="18" t="s">
        <v>329</v>
      </c>
      <c r="D7" s="18"/>
      <c r="E7" s="18"/>
      <c r="F7" s="18" t="s">
        <v>326</v>
      </c>
      <c r="G7" s="18"/>
      <c r="H7" s="18"/>
    </row>
    <row r="8" spans="1:11">
      <c r="A8" s="18" t="s">
        <v>330</v>
      </c>
      <c r="B8" s="18" t="s">
        <v>331</v>
      </c>
      <c r="C8" s="18" t="s">
        <v>332</v>
      </c>
      <c r="D8" s="18"/>
      <c r="E8" s="18"/>
      <c r="F8" s="18" t="s">
        <v>326</v>
      </c>
      <c r="G8" s="18"/>
      <c r="H8" s="18"/>
    </row>
    <row r="9" spans="1:11">
      <c r="A9" s="18" t="s">
        <v>333</v>
      </c>
      <c r="B9" s="18" t="s">
        <v>334</v>
      </c>
      <c r="C9" s="18" t="s">
        <v>335</v>
      </c>
      <c r="D9" s="18"/>
      <c r="E9" s="18"/>
      <c r="F9" s="18" t="s">
        <v>326</v>
      </c>
      <c r="G9" s="18"/>
      <c r="H9" s="18"/>
    </row>
    <row r="10" spans="1:11">
      <c r="A10" s="18" t="s">
        <v>19</v>
      </c>
      <c r="B10" s="18" t="s">
        <v>336</v>
      </c>
      <c r="C10" s="18" t="s">
        <v>337</v>
      </c>
      <c r="D10" s="18"/>
      <c r="E10" s="18"/>
      <c r="F10" s="18" t="s">
        <v>326</v>
      </c>
      <c r="G10" s="18"/>
      <c r="H10" s="18"/>
    </row>
    <row r="11" spans="1:11">
      <c r="A11" s="18" t="s">
        <v>338</v>
      </c>
      <c r="B11" s="18" t="s">
        <v>339</v>
      </c>
      <c r="C11" s="18" t="s">
        <v>340</v>
      </c>
      <c r="D11" s="18"/>
      <c r="E11" s="18"/>
      <c r="F11" s="18" t="s">
        <v>326</v>
      </c>
      <c r="G11" s="18"/>
      <c r="H11" s="18"/>
    </row>
    <row r="12" spans="1:11">
      <c r="A12" s="18" t="s">
        <v>341</v>
      </c>
      <c r="B12" s="18" t="s">
        <v>342</v>
      </c>
      <c r="C12" s="18" t="s">
        <v>343</v>
      </c>
      <c r="D12" s="18"/>
      <c r="E12" s="18"/>
      <c r="F12" s="18" t="s">
        <v>326</v>
      </c>
      <c r="G12" s="18"/>
      <c r="H12" s="18"/>
    </row>
    <row r="13" spans="1:11">
      <c r="A13" s="18" t="s">
        <v>344</v>
      </c>
      <c r="B13" s="18" t="s">
        <v>345</v>
      </c>
      <c r="C13" s="18" t="s">
        <v>346</v>
      </c>
      <c r="D13" s="18"/>
      <c r="E13" s="18"/>
      <c r="F13" s="18" t="s">
        <v>326</v>
      </c>
      <c r="G13" s="18"/>
      <c r="H13" s="18"/>
    </row>
    <row r="14" spans="1:11">
      <c r="A14" s="18" t="s">
        <v>347</v>
      </c>
      <c r="B14" s="18" t="s">
        <v>348</v>
      </c>
      <c r="C14" s="18" t="s">
        <v>349</v>
      </c>
      <c r="D14" s="18"/>
      <c r="E14" s="18"/>
      <c r="F14" s="18" t="s">
        <v>326</v>
      </c>
      <c r="G14" s="18"/>
      <c r="H14" s="18"/>
    </row>
    <row r="15" spans="1:11">
      <c r="A15" s="18" t="s">
        <v>350</v>
      </c>
      <c r="B15" s="18" t="s">
        <v>351</v>
      </c>
      <c r="C15" s="18" t="s">
        <v>352</v>
      </c>
      <c r="D15" s="18"/>
      <c r="E15" s="18"/>
      <c r="F15" s="18" t="s">
        <v>326</v>
      </c>
      <c r="G15" s="18"/>
      <c r="H15" s="18"/>
    </row>
    <row r="16" spans="1:11"/>
    <row r="17"/>
    <row r="18"/>
  </sheetData>
  <mergeCells count="2">
    <mergeCell ref="A1:H1"/>
    <mergeCell ref="A3:H3"/>
  </mergeCells>
  <dataValidations count="1">
    <dataValidation type="list" sqref="F6:F15" xr:uid="{00000000-0002-0000-0600-000000000000}">
      <formula1>"Da pianificare,In corso,Completata,Rinviata,Non applicabile"</formula1>
    </dataValidation>
  </dataValidation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"/>
  <sheetViews>
    <sheetView workbookViewId="0">
      <selection activeCell="B11" sqref="B11"/>
    </sheetView>
  </sheetViews>
  <sheetFormatPr defaultColWidth="0" defaultRowHeight="13.8" zeroHeight="1"/>
  <cols>
    <col min="1" max="1" width="26" customWidth="1"/>
    <col min="2" max="2" width="110" customWidth="1"/>
    <col min="3" max="9" width="0" hidden="1" customWidth="1"/>
    <col min="10" max="10" width="1.5" customWidth="1"/>
    <col min="11" max="11" width="0" hidden="1" customWidth="1"/>
    <col min="12" max="16384" width="8.796875" hidden="1"/>
  </cols>
  <sheetData>
    <row r="1" spans="1:11" ht="27.15" customHeight="1">
      <c r="A1" s="48" t="s">
        <v>353</v>
      </c>
      <c r="B1" s="48"/>
      <c r="C1" s="48"/>
      <c r="D1" s="48"/>
      <c r="E1" s="48"/>
      <c r="F1" s="48"/>
      <c r="G1" s="48"/>
      <c r="H1" s="48"/>
      <c r="I1" s="2"/>
      <c r="J1" s="2"/>
      <c r="K1" s="2"/>
    </row>
    <row r="2" spans="1:11"/>
    <row r="3" spans="1:11" ht="17.55" customHeight="1">
      <c r="A3" s="19" t="s">
        <v>354</v>
      </c>
      <c r="B3" s="19" t="s">
        <v>355</v>
      </c>
    </row>
    <row r="4" spans="1:11" ht="41.4">
      <c r="A4" s="7" t="s">
        <v>356</v>
      </c>
      <c r="B4" s="43" t="s">
        <v>357</v>
      </c>
    </row>
    <row r="5" spans="1:11" ht="27.6">
      <c r="A5" s="7" t="s">
        <v>358</v>
      </c>
      <c r="B5" s="43" t="s">
        <v>359</v>
      </c>
    </row>
    <row r="6" spans="1:11" ht="27.6">
      <c r="A6" s="7" t="s">
        <v>360</v>
      </c>
      <c r="B6" s="43" t="s">
        <v>361</v>
      </c>
    </row>
    <row r="7" spans="1:11" ht="27.6">
      <c r="A7" s="7" t="s">
        <v>18</v>
      </c>
      <c r="B7" s="43" t="s">
        <v>362</v>
      </c>
    </row>
    <row r="8" spans="1:11" ht="27.6">
      <c r="A8" s="7" t="s">
        <v>363</v>
      </c>
      <c r="B8" s="43" t="s">
        <v>364</v>
      </c>
    </row>
    <row r="9" spans="1:11" ht="27.6">
      <c r="A9" s="7" t="s">
        <v>365</v>
      </c>
      <c r="B9" s="43" t="s">
        <v>366</v>
      </c>
    </row>
    <row r="10" spans="1:11" ht="27.6">
      <c r="A10" s="7" t="s">
        <v>367</v>
      </c>
      <c r="B10" s="43" t="s">
        <v>368</v>
      </c>
    </row>
    <row r="11" spans="1:11" ht="27.6">
      <c r="A11" s="7" t="s">
        <v>369</v>
      </c>
      <c r="B11" s="43" t="s">
        <v>370</v>
      </c>
    </row>
    <row r="12" spans="1:11" ht="27.6">
      <c r="A12" s="7" t="s">
        <v>4</v>
      </c>
      <c r="B12" s="43" t="s">
        <v>371</v>
      </c>
    </row>
    <row r="13" spans="1:11" ht="27.6">
      <c r="A13" s="7" t="s">
        <v>372</v>
      </c>
      <c r="B13" s="43" t="s">
        <v>373</v>
      </c>
    </row>
    <row r="14" spans="1:11" ht="27.6">
      <c r="A14" s="7" t="s">
        <v>374</v>
      </c>
      <c r="B14" s="43" t="s">
        <v>375</v>
      </c>
    </row>
    <row r="15" spans="1:11" ht="27.6">
      <c r="A15" s="7" t="s">
        <v>376</v>
      </c>
      <c r="B15" s="43" t="s">
        <v>377</v>
      </c>
    </row>
    <row r="16" spans="1:11" ht="27.6">
      <c r="A16" s="7" t="s">
        <v>378</v>
      </c>
      <c r="B16" s="43" t="s">
        <v>379</v>
      </c>
    </row>
    <row r="17" spans="1:2">
      <c r="A17" s="7" t="s">
        <v>380</v>
      </c>
      <c r="B17" s="43" t="s">
        <v>381</v>
      </c>
    </row>
    <row r="18" spans="1:2">
      <c r="A18" s="7" t="s">
        <v>382</v>
      </c>
      <c r="B18" s="43" t="s">
        <v>383</v>
      </c>
    </row>
    <row r="19" spans="1:2">
      <c r="A19" s="44" t="s">
        <v>423</v>
      </c>
      <c r="B19" s="45" t="s">
        <v>424</v>
      </c>
    </row>
    <row r="20" spans="1:2"/>
  </sheetData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9"/>
  <sheetViews>
    <sheetView showGridLines="0" workbookViewId="0">
      <selection activeCell="A10" sqref="A10:XFD1048576"/>
    </sheetView>
  </sheetViews>
  <sheetFormatPr defaultColWidth="0" defaultRowHeight="13.8" zeroHeight="1"/>
  <cols>
    <col min="1" max="1" width="22" customWidth="1"/>
    <col min="2" max="6" width="24" customWidth="1"/>
    <col min="7" max="7" width="1.19921875" customWidth="1"/>
  </cols>
  <sheetData>
    <row r="1" spans="1:11" ht="17.55" customHeight="1">
      <c r="A1" s="46" t="s">
        <v>384</v>
      </c>
      <c r="B1" s="46" t="s">
        <v>385</v>
      </c>
      <c r="C1" s="46" t="s">
        <v>386</v>
      </c>
      <c r="D1" s="46" t="s">
        <v>387</v>
      </c>
      <c r="E1" s="46" t="s">
        <v>388</v>
      </c>
      <c r="F1" s="46" t="s">
        <v>389</v>
      </c>
      <c r="G1" s="2"/>
      <c r="H1" s="2"/>
      <c r="I1" s="2"/>
      <c r="J1" s="2"/>
      <c r="K1" s="2"/>
    </row>
    <row r="2" spans="1:11">
      <c r="A2" s="43" t="s">
        <v>390</v>
      </c>
      <c r="B2" s="43" t="s">
        <v>75</v>
      </c>
      <c r="C2" s="43" t="s">
        <v>237</v>
      </c>
      <c r="D2" s="43"/>
      <c r="E2" s="43"/>
      <c r="F2" s="43"/>
    </row>
    <row r="3" spans="1:11">
      <c r="A3" s="43" t="s">
        <v>391</v>
      </c>
      <c r="B3" s="43" t="s">
        <v>392</v>
      </c>
      <c r="C3" s="43" t="s">
        <v>393</v>
      </c>
      <c r="D3" s="43" t="s">
        <v>394</v>
      </c>
      <c r="E3" s="43" t="s">
        <v>395</v>
      </c>
      <c r="F3" s="43" t="s">
        <v>396</v>
      </c>
    </row>
    <row r="4" spans="1:11">
      <c r="A4" s="43" t="s">
        <v>18</v>
      </c>
      <c r="B4" s="43" t="s">
        <v>397</v>
      </c>
      <c r="C4" s="43" t="s">
        <v>398</v>
      </c>
      <c r="D4" s="43" t="s">
        <v>399</v>
      </c>
      <c r="E4" s="43" t="s">
        <v>400</v>
      </c>
      <c r="F4" s="43" t="s">
        <v>401</v>
      </c>
    </row>
    <row r="5" spans="1:11">
      <c r="A5" s="43" t="s">
        <v>402</v>
      </c>
      <c r="B5" s="43" t="s">
        <v>196</v>
      </c>
      <c r="C5" s="43" t="s">
        <v>185</v>
      </c>
      <c r="D5" s="43" t="s">
        <v>192</v>
      </c>
      <c r="E5" s="43" t="s">
        <v>403</v>
      </c>
      <c r="F5" s="43" t="s">
        <v>404</v>
      </c>
    </row>
    <row r="6" spans="1:11">
      <c r="A6" s="43" t="s">
        <v>405</v>
      </c>
      <c r="B6" s="43" t="s">
        <v>406</v>
      </c>
      <c r="C6" s="43" t="s">
        <v>62</v>
      </c>
      <c r="D6" s="43" t="s">
        <v>407</v>
      </c>
      <c r="E6" s="43" t="s">
        <v>408</v>
      </c>
      <c r="F6" s="43" t="s">
        <v>409</v>
      </c>
    </row>
    <row r="7" spans="1:11" ht="27.6">
      <c r="A7" s="43" t="s">
        <v>410</v>
      </c>
      <c r="B7" s="43" t="s">
        <v>411</v>
      </c>
      <c r="C7" s="43" t="s">
        <v>412</v>
      </c>
      <c r="D7" s="43" t="s">
        <v>413</v>
      </c>
      <c r="E7" s="43" t="s">
        <v>414</v>
      </c>
      <c r="F7" s="43" t="s">
        <v>415</v>
      </c>
    </row>
    <row r="8" spans="1:11">
      <c r="A8" s="43" t="s">
        <v>416</v>
      </c>
      <c r="B8" s="43" t="s">
        <v>417</v>
      </c>
      <c r="C8" s="43" t="s">
        <v>418</v>
      </c>
      <c r="D8" s="43" t="s">
        <v>419</v>
      </c>
      <c r="E8" s="43" t="s">
        <v>420</v>
      </c>
      <c r="F8" s="43" t="s">
        <v>421</v>
      </c>
    </row>
    <row r="9" spans="1:1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6</vt:i4>
      </vt:variant>
    </vt:vector>
  </HeadingPairs>
  <TitlesOfParts>
    <vt:vector size="15" baseType="lpstr">
      <vt:lpstr>Dashboard</vt:lpstr>
      <vt:lpstr>Contesto</vt:lpstr>
      <vt:lpstr>Questionario</vt:lpstr>
      <vt:lpstr>DVR_Misure</vt:lpstr>
      <vt:lpstr>ISTAT</vt:lpstr>
      <vt:lpstr>Esito</vt:lpstr>
      <vt:lpstr>Piano_Misure</vt:lpstr>
      <vt:lpstr>Guida</vt:lpstr>
      <vt:lpstr>Tabelle</vt:lpstr>
      <vt:lpstr>Contesto!Area_stampa</vt:lpstr>
      <vt:lpstr>Dashboard!Area_stampa</vt:lpstr>
      <vt:lpstr>DVR_Misure!Area_stampa</vt:lpstr>
      <vt:lpstr>Esito!Area_stampa</vt:lpstr>
      <vt:lpstr>ISTAT!Area_stampa</vt:lpstr>
      <vt:lpstr>Questionario!Area_stampa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</dc:creator>
  <cp:lastModifiedBy>PAOLO BENNI</cp:lastModifiedBy>
  <cp:lastPrinted>2026-06-27T14:34:07Z</cp:lastPrinted>
  <dcterms:created xsi:type="dcterms:W3CDTF">2026-06-27T14:50:43Z</dcterms:created>
  <dcterms:modified xsi:type="dcterms:W3CDTF">2026-06-27T14:50:43Z</dcterms:modified>
</cp:coreProperties>
</file>